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_xlnm.Print_Area" localSheetId="0">'Stavební rozpočet'!$A$1:$M$1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<sst xmlns="http://schemas.openxmlformats.org/spreadsheetml/2006/main" count="885" uniqueCount="369">
  <si>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</si>
  <si>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</si>
  <si>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</si>
  <si>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</si>
  <si>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</si>
  <si>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</si>
  <si>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</si>
  <si>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</si>
  <si>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</si>
  <si>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</si>
  <si>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</si>
  <si>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</si>
  <si>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</si>
  <si>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</si>
  <si>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</si>
  <si>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</si>
  <si>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</si>
  <si>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</si>
  <si>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</si>
  <si>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</si>
  <si>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</si>
  <si>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</si>
  <si>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</si>
  <si>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</si>
  <si>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</si>
  <si>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</si>
  <si>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</si>
  <si>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</si>
  <si>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</si>
  <si>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</si>
  <si>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</si>
  <si>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</si>
  <si>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</si>
  <si>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</si>
  <si>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</si>
  <si>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</si>
  <si>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</si>
  <si>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</si>
  <si>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</si>
  <si>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</si>
  <si>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</si>
  <si>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</si>
  <si>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</si>
  <si>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</si>
  <si>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</si>
  <si>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</si>
  <si>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</si>
  <si>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</si>
  <si>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</si>
  <si>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</si>
  <si>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</si>
  <si>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</si>
  <si>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</si>
  <si>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</si>
  <si>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</si>
  <si>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</si>
  <si>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</si>
  <si>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</si>
  <si>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</si>
  <si>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</si>
  <si>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</si>
  <si>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</si>
  <si>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</si>
  <si>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</si>
  <si>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</si>
  <si>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</si>
  <si>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</si>
  <si>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</si>
  <si>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</si>
  <si>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</si>
  <si>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</si>
  <si>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</si>
  <si>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</si>
  <si>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</si>
  <si>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</si>
  <si>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</si>
  <si>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</si>
  <si>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</si>
  <si>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Poznámka:</t>
  </si>
  <si>
    <t>Objekt</t>
  </si>
  <si>
    <t>Kód</t>
  </si>
  <si>
    <t>311238216R00</t>
  </si>
  <si>
    <t>314253604R00</t>
  </si>
  <si>
    <t>314256613R00</t>
  </si>
  <si>
    <t>417237114R00</t>
  </si>
  <si>
    <t>417321315R00</t>
  </si>
  <si>
    <t>417361821R00</t>
  </si>
  <si>
    <t>621481211RU1</t>
  </si>
  <si>
    <t>622461151R00</t>
  </si>
  <si>
    <t>621421144RT2</t>
  </si>
  <si>
    <t>998011001R00</t>
  </si>
  <si>
    <t>712</t>
  </si>
  <si>
    <t>712300833RT3</t>
  </si>
  <si>
    <t>998712101R00</t>
  </si>
  <si>
    <t>762</t>
  </si>
  <si>
    <t>762811811R00</t>
  </si>
  <si>
    <t>762711820R00</t>
  </si>
  <si>
    <t>762711810R00</t>
  </si>
  <si>
    <t>762711840R00</t>
  </si>
  <si>
    <t>762711850R00</t>
  </si>
  <si>
    <t>762712120R00</t>
  </si>
  <si>
    <t>762712140R00</t>
  </si>
  <si>
    <t>762712130R00</t>
  </si>
  <si>
    <t>762712150RT3</t>
  </si>
  <si>
    <t>762795000R00</t>
  </si>
  <si>
    <t>60515768</t>
  </si>
  <si>
    <t>60515764</t>
  </si>
  <si>
    <t>60515770</t>
  </si>
  <si>
    <t>60515775</t>
  </si>
  <si>
    <t>60515777</t>
  </si>
  <si>
    <t>762911121R00</t>
  </si>
  <si>
    <t>764</t>
  </si>
  <si>
    <t>764351850R00</t>
  </si>
  <si>
    <t>764252205R00</t>
  </si>
  <si>
    <t>764554203R00</t>
  </si>
  <si>
    <t>764239220R00</t>
  </si>
  <si>
    <t>765</t>
  </si>
  <si>
    <t>765321810R00</t>
  </si>
  <si>
    <t>765799212R00</t>
  </si>
  <si>
    <t>765799231R00</t>
  </si>
  <si>
    <t>765901112R00</t>
  </si>
  <si>
    <t>60510001</t>
  </si>
  <si>
    <t>765312512R00</t>
  </si>
  <si>
    <t>765312515R00</t>
  </si>
  <si>
    <t>765312517R00</t>
  </si>
  <si>
    <t>765312535R00</t>
  </si>
  <si>
    <t>765312545R00</t>
  </si>
  <si>
    <t>765312571R00</t>
  </si>
  <si>
    <t>765312585R00</t>
  </si>
  <si>
    <t>998762102R00</t>
  </si>
  <si>
    <t>7650002VD</t>
  </si>
  <si>
    <t>7650001VD</t>
  </si>
  <si>
    <t>7650003VD</t>
  </si>
  <si>
    <t>766</t>
  </si>
  <si>
    <t>766231111R00</t>
  </si>
  <si>
    <t>766422343R00</t>
  </si>
  <si>
    <t>766427112R00</t>
  </si>
  <si>
    <t>998766101R00</t>
  </si>
  <si>
    <t>61250024</t>
  </si>
  <si>
    <t>59590739</t>
  </si>
  <si>
    <t>90</t>
  </si>
  <si>
    <t>900001VD</t>
  </si>
  <si>
    <t>900002VD</t>
  </si>
  <si>
    <t>94</t>
  </si>
  <si>
    <t>941941031R00</t>
  </si>
  <si>
    <t>941941191R00</t>
  </si>
  <si>
    <t>941941831R00</t>
  </si>
  <si>
    <t>96</t>
  </si>
  <si>
    <t>962032231R00</t>
  </si>
  <si>
    <t>962032631R00</t>
  </si>
  <si>
    <t>M21</t>
  </si>
  <si>
    <t>210200020RA0</t>
  </si>
  <si>
    <t>S</t>
  </si>
  <si>
    <t>979086213R00</t>
  </si>
  <si>
    <t>979011311R00</t>
  </si>
  <si>
    <t>979081111R00</t>
  </si>
  <si>
    <t>979081121R00</t>
  </si>
  <si>
    <t>979990201R00</t>
  </si>
  <si>
    <t>979087017R00</t>
  </si>
  <si>
    <t>979087018R00</t>
  </si>
  <si>
    <t>979990105R00</t>
  </si>
  <si>
    <t>Výměna střechy obecní budovy</t>
  </si>
  <si>
    <t>Zkrácený popis</t>
  </si>
  <si>
    <t>Rozměry</t>
  </si>
  <si>
    <t>Zdi podpěrné a volné</t>
  </si>
  <si>
    <t>Zdivo POROTHERM 40 P+D P15 na MC 10, tl. 400 mm</t>
  </si>
  <si>
    <t>Komín jednoprůduchový,obezdívka, DN 18 cm</t>
  </si>
  <si>
    <t>Komín 2pr.s větr.šacht.obezdívka,DN18/18 cm</t>
  </si>
  <si>
    <t>Stropy a stropní konstrukce (pro pozemní stavby)</t>
  </si>
  <si>
    <t>Obezdění věnce brouš. věncovkou HELUZ 8/25, izol.</t>
  </si>
  <si>
    <t>Ztužující pásy a věnce z betonu železového C 20/25</t>
  </si>
  <si>
    <t>Výztuž ztužujících pásů a věnců z oceli 10505(R)</t>
  </si>
  <si>
    <t>Úprava povrchů vnější</t>
  </si>
  <si>
    <t>Montáž výztužné sítě (perlinky) do stěrky-podhledy</t>
  </si>
  <si>
    <t>Omítka vnější stěn břízolit, škrábaná, slož. 1 - 2</t>
  </si>
  <si>
    <t>Omítka vnější podhledů, MVC,.štuková, slož. 1-2</t>
  </si>
  <si>
    <t>Přesun hmot pro budovy zděné výšky do 6 m</t>
  </si>
  <si>
    <t>Izolace střech (živičné krytiny)</t>
  </si>
  <si>
    <t>Odstranění povlakové krytiny střech do 10° 3vrstvé</t>
  </si>
  <si>
    <t>Přesun hmot pro povlakové krytiny, výšky do 6 m</t>
  </si>
  <si>
    <t>Konstrukce tesařské</t>
  </si>
  <si>
    <t>Demontáž záklopů z hrubých prken tl. do 3,2 cm</t>
  </si>
  <si>
    <t>Demontáž vázaných konstrukcí hraněných do 224 cm2</t>
  </si>
  <si>
    <t>Demontáž vázaných konstrukcí hraněných do 120 cm2</t>
  </si>
  <si>
    <t>Demontáž vázaných konstrukcí hraněných do 450 cm2</t>
  </si>
  <si>
    <t>Demontáž vázaných konstrukcí hraněných nad 450 cm2</t>
  </si>
  <si>
    <t>Montáž vázaných konstrukcí hraněných do 224 cm2</t>
  </si>
  <si>
    <t>Montáž vázaných konstrukcí hraněných do 450 cm2</t>
  </si>
  <si>
    <t>Montáž vázaných konstrukcí hraněných do 288 cm2</t>
  </si>
  <si>
    <t>Montáž vázaných konstrukcí hraněných nad 600 cm2</t>
  </si>
  <si>
    <t>Spojovací prostředky pro vázané konstrukce</t>
  </si>
  <si>
    <t>Hranol SM/BO profil do 200x200 mm dl. do 8 m</t>
  </si>
  <si>
    <t>Hranol SM/BO profil do 200x200 mm dl. do 4 m</t>
  </si>
  <si>
    <t>Hranol SM/BO profil do 200x200 mm dl. do 10 m</t>
  </si>
  <si>
    <t>Hranol SM/BO profil do 300x300 mm dl. do 8 m</t>
  </si>
  <si>
    <t>Hranol SM/BO profil do 300x300 mm dl. do 10 m</t>
  </si>
  <si>
    <t>Konstrukce klempířské</t>
  </si>
  <si>
    <t>Demontáž žlabů 4hran., oblouk., rš 400 mm, do 30°</t>
  </si>
  <si>
    <t>Krytina tvrdá</t>
  </si>
  <si>
    <t>Demontáž azbestocement.čtverců na bednění, do suti</t>
  </si>
  <si>
    <t>Montáž laťování rozteč latí do 22 cm nad 10 m2</t>
  </si>
  <si>
    <t>Montáž kontralaťování při vzdálenosti latí do 1 m</t>
  </si>
  <si>
    <t>Fólie izolační podstřešní paropropustná</t>
  </si>
  <si>
    <t>Lať střešní profil SM/BO 40/50 mm  dl = 3 - 5 m</t>
  </si>
  <si>
    <t>Krytina Falcovka 11 střech jednoduchých, engoba</t>
  </si>
  <si>
    <t>Příplatek za tašky pro připojení hřebene, engoba</t>
  </si>
  <si>
    <t>Přiřezání a uchycení tašek</t>
  </si>
  <si>
    <t>Hřeben s větracím pásem plastovým, engoba</t>
  </si>
  <si>
    <t>Nároží s větracím pásem plastovým, engoba</t>
  </si>
  <si>
    <t>Vikýř univerzální pro pálenou krytinu 45 x 55 cm</t>
  </si>
  <si>
    <t>Pás ochranný větrací okapní 500/10 cm plast</t>
  </si>
  <si>
    <t>Přesun hmot pro tesařské konstrukce, výšky do 12 m</t>
  </si>
  <si>
    <t>Eternit - dekontaminace prostoru</t>
  </si>
  <si>
    <t>Eternit - měření přítomnosti vláken</t>
  </si>
  <si>
    <t>Eternit - vypracování dokumentace</t>
  </si>
  <si>
    <t>Konstrukce truhlářské</t>
  </si>
  <si>
    <t>Montáž stahovacích půdních schodů</t>
  </si>
  <si>
    <t>Obložení podhledů jednod.aglomer.deskami nad 1,5m2</t>
  </si>
  <si>
    <t>Podkladový rošt pro obložení podhledů</t>
  </si>
  <si>
    <t>Přesun hmot pro truhlářské konstr., výšky do 6 m</t>
  </si>
  <si>
    <t>Schody skládací dřevěné LUX EI 15 120x70cm</t>
  </si>
  <si>
    <t>Deska cementotřísková Cetris BASIC tl. 16 mm</t>
  </si>
  <si>
    <t>Hodinové zúčtovací sazby (HZS)</t>
  </si>
  <si>
    <t>Projektová dokumentace pro provedení stavby</t>
  </si>
  <si>
    <t>Projektová dokumentace skutečného provedení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</si>
  <si>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</si>
  <si>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</si>
  <si>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</si>
  <si>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</si>
  <si>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Bourání konstrukcí</t>
  </si>
  <si>
    <t>Bourání zdiva z cihel pálených na MVC</t>
  </si>
  <si>
    <t>Bourání zdiva komínového z cihel na MVC</t>
  </si>
  <si>
    <t>Elektromontáže</t>
  </si>
  <si>
    <t>Hromosvod</t>
  </si>
  <si>
    <t>Přesuny sutí</t>
  </si>
  <si>
    <t>Nakládání vybouraných hmot na dopravní prostředek</t>
  </si>
  <si>
    <t>Svislá doprava suti a vybouraných hmot shozem</t>
  </si>
  <si>
    <t>Odvoz suti a vybour. hmot na skládku do 1 km</t>
  </si>
  <si>
    <t>Příplatek k odvozu za každý další 1 km</t>
  </si>
  <si>
    <t>Poplatek za skládku suti -azbestocementové výrobky</t>
  </si>
  <si>
    <t>Odvoz konstrukcí z AZC na skládku do 5 km</t>
  </si>
  <si>
    <t>Odvoz na skládku  AZC, příplatek za dalších 5 km</t>
  </si>
  <si>
    <t>Poplatek za skládku suti - cihelné výrobky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</si>
  <si>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</si>
  <si>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</si>
  <si>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</si>
  <si>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</si>
  <si>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</si>
  <si>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</si>
  <si>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</si>
  <si>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</si>
  <si>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t</t>
  </si>
  <si>
    <t>kus</t>
  </si>
  <si>
    <t>hod</t>
  </si>
  <si>
    <t>kpl</t>
  </si>
  <si>
    <t>kompl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</si>
  <si>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</si>
  <si>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</si>
  <si>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</si>
  <si>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</si>
  <si>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</si>
  <si>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</si>
  <si>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</si>
  <si>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</si>
  <si>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</si>
  <si>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</si>
  <si>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</si>
  <si>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</si>
  <si>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</si>
  <si>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</si>
  <si>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</si>
  <si>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</si>
  <si>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</si>
  <si>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</si>
  <si>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</si>
  <si>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</si>
  <si>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</si>
  <si>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</si>
  <si>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</si>
  <si>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</si>
  <si>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</si>
  <si>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</si>
  <si>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41_</t>
  </si>
  <si>
    <t>62_</t>
  </si>
  <si>
    <t>712_</t>
  </si>
  <si>
    <t>762_</t>
  </si>
  <si>
    <t>764_</t>
  </si>
  <si>
    <t>765_</t>
  </si>
  <si>
    <t>766_</t>
  </si>
  <si>
    <t>90_</t>
  </si>
  <si>
    <t>94_</t>
  </si>
  <si>
    <t>96_</t>
  </si>
  <si>
    <t>M21_</t>
  </si>
  <si>
    <t>S_</t>
  </si>
  <si>
    <t>3_</t>
  </si>
  <si>
    <t>4_</t>
  </si>
  <si>
    <t>6_</t>
  </si>
  <si>
    <t>71_</t>
  </si>
  <si>
    <t>76_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</si>
  <si>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</si>
  <si>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</si>
  <si>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</si>
  <si>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</si>
  <si>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</si>
  <si>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</si>
  <si>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</si>
  <si>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</si>
  <si>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</si>
  <si>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</si>
  <si>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</si>
  <si>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</si>
  <si>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</si>
  <si>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</si>
  <si>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</si>
  <si>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</si>
  <si>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</si>
  <si>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</si>
  <si>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</si>
  <si>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</si>
  <si>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</si>
  <si>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</si>
  <si>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</si>
  <si>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</si>
  <si>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</si>
  <si>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</si>
  <si>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</si>
  <si>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</si>
  <si>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</si>
  <si>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</si>
  <si>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</si>
  <si>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</si>
  <si>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</si>
  <si>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</si>
  <si>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</si>
  <si>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</si>
  <si>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</si>
  <si>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</si>
  <si>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</si>
  <si>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</si>
  <si>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</si>
  <si>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</si>
  <si>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</si>
  <si>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</si>
  <si>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</si>
  <si>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</si>
  <si>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</si>
  <si>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</si>
  <si>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</si>
  <si>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</si>
  <si>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</si>
  <si>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</si>
  <si>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</si>
  <si>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</si>
  <si>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</si>
  <si>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</si>
  <si>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</si>
  <si>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</si>
  <si>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</si>
  <si>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</si>
  <si>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</si>
  <si>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</si>
  <si>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</si>
  <si>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</si>
  <si>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Ing. Svoboda Pavel</t>
  </si>
  <si>
    <t>vazníková střecha včetně montáže</t>
  </si>
  <si>
    <t>ks</t>
  </si>
  <si>
    <t>Žlaby z pozink plechu podokapní půlkruhové, rš 400 mm</t>
  </si>
  <si>
    <t>Odpadní trouby z pozink plechu, kruhové, D 120 mm</t>
  </si>
  <si>
    <t>Lemování z pozink, komínů na vln. krytině, v hřebeni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</si>
</sst>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50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38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tabSelected="1" zoomScalePageLayoutView="0" workbookViewId="0" topLeftCell="A1">
      <selection activeCell="AE1" sqref="AE1"/>
    </sheetView>
  </sheetViews>
  <sheetFormatPr defaultColWidth="11.57421875" defaultRowHeight="12.75"/>
  <cols>
    <col min="1" max="1" width="3.28125" style="0" customWidth="1"/>
    <col min="2" max="2" width="6.8515625" style="0" customWidth="1"/>
    <col min="3" max="3" width="13.28125" style="0" customWidth="1"/>
    <col min="4" max="4" width="51.14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30" width="12.140625" style="0" hidden="1" customWidth="1"/>
    <col min="31" max="31" width="24.7109375" style="0" customWidth="1"/>
    <col min="32" max="32" width="16.8515625" style="0" customWidth="1"/>
    <col min="33" max="33" width="12.00390625" style="0" customWidth="1"/>
    <col min="34" max="34" width="17.00390625" style="0" customWidth="1"/>
    <col min="35" max="35" width="17.8515625" style="0" customWidth="1"/>
    <col min="36" max="36" width="7.421875" style="0" customWidth="1"/>
    <col min="37" max="37" width="10.57421875" style="0" customWidth="1"/>
    <col min="38" max="38" width="10.00390625" style="0" customWidth="1"/>
    <col min="39" max="39" width="9.57421875" style="0" customWidth="1"/>
    <col min="40" max="40" width="27.421875" style="0" customWidth="1"/>
    <col min="41" max="41" width="19.140625" style="0" customWidth="1"/>
    <col min="42" max="42" width="20.00390625" style="0" customWidth="1"/>
    <col min="43" max="43" width="9.8515625" style="0" customWidth="1"/>
    <col min="44" max="44" width="15.00390625" style="0" customWidth="1"/>
    <col min="45" max="45" width="23.00390625" style="0" customWidth="1"/>
    <col min="46" max="46" width="12.28125" style="0" customWidth="1"/>
    <col min="47" max="47" width="8.28125" style="0" customWidth="1"/>
    <col min="48" max="48" width="55.57421875" style="0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78"/>
      <c r="D2" s="81" t="s">
        <v>161</v>
      </c>
      <c r="E2" s="83" t="s">
        <v>243</v>
      </c>
      <c r="F2" s="78"/>
      <c r="G2" s="83"/>
      <c r="H2" s="78"/>
      <c r="I2" s="84" t="s">
        <v>262</v>
      </c>
      <c r="J2" s="84"/>
      <c r="K2" s="78"/>
      <c r="L2" s="78"/>
      <c r="M2" s="85"/>
      <c r="N2" s="32"/>
    </row>
    <row r="3" spans="1:14" ht="12.75">
      <c r="A3" s="79"/>
      <c r="B3" s="80"/>
      <c r="C3" s="80"/>
      <c r="D3" s="82"/>
      <c r="E3" s="80"/>
      <c r="F3" s="80"/>
      <c r="G3" s="80"/>
      <c r="H3" s="80"/>
      <c r="I3" s="80"/>
      <c r="J3" s="80"/>
      <c r="K3" s="80"/>
      <c r="L3" s="80"/>
      <c r="M3" s="86"/>
      <c r="N3" s="32"/>
    </row>
    <row r="4" spans="1:14" ht="12.75">
      <c r="A4" s="87" t="s">
        <v>2</v>
      </c>
      <c r="B4" s="80"/>
      <c r="C4" s="80"/>
      <c r="D4" s="88"/>
      <c r="E4" s="89" t="s">
        <v>244</v>
      </c>
      <c r="F4" s="80"/>
      <c r="G4" s="90"/>
      <c r="H4" s="80"/>
      <c r="I4" s="88" t="s">
        <v>263</v>
      </c>
      <c r="J4" s="88" t="s">
        <v>363</v>
      </c>
      <c r="K4" s="80"/>
      <c r="L4" s="80"/>
      <c r="M4" s="86"/>
      <c r="N4" s="32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6"/>
      <c r="N5" s="32"/>
    </row>
    <row r="6" spans="1:14" ht="12.75">
      <c r="A6" s="87" t="s">
        <v>3</v>
      </c>
      <c r="B6" s="80"/>
      <c r="C6" s="80"/>
      <c r="D6" s="88"/>
      <c r="E6" s="89" t="s">
        <v>245</v>
      </c>
      <c r="F6" s="80"/>
      <c r="G6" s="80"/>
      <c r="H6" s="80"/>
      <c r="I6" s="88" t="s">
        <v>264</v>
      </c>
      <c r="J6" s="88"/>
      <c r="K6" s="80"/>
      <c r="L6" s="80"/>
      <c r="M6" s="86"/>
      <c r="N6" s="32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6"/>
      <c r="N7" s="32"/>
    </row>
    <row r="8" spans="1:14" ht="12.75">
      <c r="A8" s="87" t="s">
        <v>4</v>
      </c>
      <c r="B8" s="80"/>
      <c r="C8" s="80"/>
      <c r="D8" s="88"/>
      <c r="E8" s="89" t="s">
        <v>246</v>
      </c>
      <c r="F8" s="80"/>
      <c r="G8" s="90">
        <v>43650</v>
      </c>
      <c r="H8" s="80"/>
      <c r="I8" s="88" t="s">
        <v>265</v>
      </c>
      <c r="J8" s="88"/>
      <c r="K8" s="80"/>
      <c r="L8" s="80"/>
      <c r="M8" s="86"/>
      <c r="N8" s="32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32"/>
    </row>
    <row r="10" spans="1:14" ht="12.75">
      <c r="A10" s="1" t="s">
        <v>5</v>
      </c>
      <c r="B10" s="10" t="s">
        <v>79</v>
      </c>
      <c r="C10" s="10" t="s">
        <v>80</v>
      </c>
      <c r="D10" s="10" t="s">
        <v>162</v>
      </c>
      <c r="E10" s="10" t="s">
        <v>247</v>
      </c>
      <c r="F10" s="16" t="s">
        <v>256</v>
      </c>
      <c r="G10" s="20" t="s">
        <v>257</v>
      </c>
      <c r="H10" s="96" t="s">
        <v>259</v>
      </c>
      <c r="I10" s="97"/>
      <c r="J10" s="98"/>
      <c r="K10" s="96" t="s">
        <v>268</v>
      </c>
      <c r="L10" s="98"/>
      <c r="M10" s="27" t="s">
        <v>269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163</v>
      </c>
      <c r="E11" s="11" t="s">
        <v>6</v>
      </c>
      <c r="F11" s="11" t="s">
        <v>6</v>
      </c>
      <c r="G11" s="21" t="s">
        <v>258</v>
      </c>
      <c r="H11" s="22" t="s">
        <v>260</v>
      </c>
      <c r="I11" s="23" t="s">
        <v>266</v>
      </c>
      <c r="J11" s="24" t="s">
        <v>267</v>
      </c>
      <c r="K11" s="22" t="s">
        <v>257</v>
      </c>
      <c r="L11" s="24" t="s">
        <v>267</v>
      </c>
      <c r="M11" s="28" t="s">
        <v>270</v>
      </c>
      <c r="N11" s="33"/>
      <c r="P11" s="26" t="s">
        <v>272</v>
      </c>
      <c r="Q11" s="26" t="s">
        <v>273</v>
      </c>
      <c r="R11" s="26" t="s">
        <v>274</v>
      </c>
      <c r="S11" s="26" t="s">
        <v>275</v>
      </c>
      <c r="T11" s="26" t="s">
        <v>276</v>
      </c>
      <c r="U11" s="26" t="s">
        <v>277</v>
      </c>
      <c r="V11" s="26" t="s">
        <v>278</v>
      </c>
      <c r="W11" s="26" t="s">
        <v>279</v>
      </c>
      <c r="X11" s="26" t="s">
        <v>280</v>
      </c>
    </row>
    <row r="12" spans="1:37" ht="12.75">
      <c r="A12" s="3"/>
      <c r="B12" s="12"/>
      <c r="C12" s="12" t="s">
        <v>37</v>
      </c>
      <c r="D12" s="99" t="s">
        <v>164</v>
      </c>
      <c r="E12" s="100"/>
      <c r="F12" s="100"/>
      <c r="G12" s="100"/>
      <c r="H12" s="36">
        <f>SUM(H13:H15)</f>
        <v>49627.83240088681</v>
      </c>
      <c r="I12" s="36">
        <f>SUM(I13:I15)</f>
        <v>20772.167599113192</v>
      </c>
      <c r="J12" s="36">
        <f>H12+I12</f>
        <v>70400</v>
      </c>
      <c r="K12" s="25"/>
      <c r="L12" s="36">
        <f>SUM(L13:L15)</f>
        <v>14.811828000000002</v>
      </c>
      <c r="M12" s="25"/>
      <c r="Y12" s="26"/>
      <c r="AI12" s="37">
        <f>SUM(Z13:Z15)</f>
        <v>0</v>
      </c>
      <c r="AJ12" s="37">
        <f>SUM(AA13:AA15)</f>
        <v>0</v>
      </c>
      <c r="AK12" s="37">
        <f>SUM(AB13:AB15)</f>
        <v>70400</v>
      </c>
    </row>
    <row r="13" spans="1:48" ht="12.75">
      <c r="A13" s="4" t="s">
        <v>7</v>
      </c>
      <c r="B13" s="4"/>
      <c r="C13" s="4" t="s">
        <v>81</v>
      </c>
      <c r="D13" s="4" t="s">
        <v>165</v>
      </c>
      <c r="E13" s="4" t="s">
        <v>248</v>
      </c>
      <c r="F13" s="17">
        <v>27.6</v>
      </c>
      <c r="G13" s="17">
        <v>1500</v>
      </c>
      <c r="H13" s="17">
        <f>F13*AE13</f>
        <v>29253.236152816615</v>
      </c>
      <c r="I13" s="17">
        <f>J13-H13</f>
        <v>12146.763847183385</v>
      </c>
      <c r="J13" s="17">
        <f>F13*G13</f>
        <v>41400</v>
      </c>
      <c r="K13" s="17">
        <v>0.38218</v>
      </c>
      <c r="L13" s="17">
        <f>F13*K13</f>
        <v>10.548168</v>
      </c>
      <c r="M13" s="29" t="s">
        <v>271</v>
      </c>
      <c r="P13" s="34">
        <f>IF(AG13="5",J13,0)</f>
        <v>0</v>
      </c>
      <c r="R13" s="34">
        <f>IF(AG13="1",H13,0)</f>
        <v>29253.236152816615</v>
      </c>
      <c r="S13" s="34">
        <f>IF(AG13="1",I13,0)</f>
        <v>12146.763847183385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41400</v>
      </c>
      <c r="AD13" s="34">
        <v>21</v>
      </c>
      <c r="AE13" s="34">
        <f>G13*0.706599907072865</f>
        <v>1059.8998606092975</v>
      </c>
      <c r="AF13" s="34">
        <f>G13*(1-0.706599907072865)</f>
        <v>440.10013939070245</v>
      </c>
      <c r="AG13" s="29" t="s">
        <v>7</v>
      </c>
      <c r="AM13" s="34">
        <f>F13*AE13</f>
        <v>29253.236152816615</v>
      </c>
      <c r="AN13" s="34">
        <f>F13*AF13</f>
        <v>12146.763847183389</v>
      </c>
      <c r="AO13" s="35" t="s">
        <v>281</v>
      </c>
      <c r="AP13" s="35" t="s">
        <v>294</v>
      </c>
      <c r="AQ13" s="26" t="s">
        <v>300</v>
      </c>
      <c r="AS13" s="34">
        <f>AM13+AN13</f>
        <v>41400</v>
      </c>
      <c r="AT13" s="34">
        <f>G13/(100-AU13)*100</f>
        <v>1500</v>
      </c>
      <c r="AU13" s="34">
        <v>0</v>
      </c>
      <c r="AV13" s="34">
        <f>L13</f>
        <v>10.548168</v>
      </c>
    </row>
    <row r="14" spans="1:48" ht="12.75">
      <c r="A14" s="4" t="s">
        <v>8</v>
      </c>
      <c r="B14" s="4"/>
      <c r="C14" s="4" t="s">
        <v>82</v>
      </c>
      <c r="D14" s="4" t="s">
        <v>166</v>
      </c>
      <c r="E14" s="4" t="s">
        <v>249</v>
      </c>
      <c r="F14" s="17">
        <v>4</v>
      </c>
      <c r="G14" s="17">
        <v>2000</v>
      </c>
      <c r="H14" s="17">
        <f>F14*AE14</f>
        <v>5608.325056433408</v>
      </c>
      <c r="I14" s="17">
        <f>J14-H14</f>
        <v>2391.6749435665924</v>
      </c>
      <c r="J14" s="17">
        <f>F14*G14</f>
        <v>8000</v>
      </c>
      <c r="K14" s="17">
        <v>0.32208</v>
      </c>
      <c r="L14" s="17">
        <f>F14*K14</f>
        <v>1.28832</v>
      </c>
      <c r="M14" s="29" t="s">
        <v>271</v>
      </c>
      <c r="P14" s="34">
        <f>IF(AG14="5",J14,0)</f>
        <v>0</v>
      </c>
      <c r="R14" s="34">
        <f>IF(AG14="1",H14,0)</f>
        <v>5608.325056433408</v>
      </c>
      <c r="S14" s="34">
        <f>IF(AG14="1",I14,0)</f>
        <v>2391.6749435665924</v>
      </c>
      <c r="T14" s="34">
        <f>IF(AG14="7",H14,0)</f>
        <v>0</v>
      </c>
      <c r="U14" s="34">
        <f>IF(AG14="7",I14,0)</f>
        <v>0</v>
      </c>
      <c r="V14" s="34">
        <f>IF(AG14="2",H14,0)</f>
        <v>0</v>
      </c>
      <c r="W14" s="34">
        <f>IF(AG14="2",I14,0)</f>
        <v>0</v>
      </c>
      <c r="X14" s="34">
        <f>IF(AG14="0",J14,0)</f>
        <v>0</v>
      </c>
      <c r="Y14" s="26"/>
      <c r="Z14" s="17">
        <f>IF(AD14=0,J14,0)</f>
        <v>0</v>
      </c>
      <c r="AA14" s="17">
        <f>IF(AD14=15,J14,0)</f>
        <v>0</v>
      </c>
      <c r="AB14" s="17">
        <f>IF(AD14=21,J14,0)</f>
        <v>8000</v>
      </c>
      <c r="AD14" s="34">
        <v>21</v>
      </c>
      <c r="AE14" s="34">
        <f>G14*0.701040632054176</f>
        <v>1402.081264108352</v>
      </c>
      <c r="AF14" s="34">
        <f>G14*(1-0.701040632054176)</f>
        <v>597.918735891648</v>
      </c>
      <c r="AG14" s="29" t="s">
        <v>7</v>
      </c>
      <c r="AM14" s="34">
        <f>F14*AE14</f>
        <v>5608.325056433408</v>
      </c>
      <c r="AN14" s="34">
        <f>F14*AF14</f>
        <v>2391.674943566592</v>
      </c>
      <c r="AO14" s="35" t="s">
        <v>281</v>
      </c>
      <c r="AP14" s="35" t="s">
        <v>294</v>
      </c>
      <c r="AQ14" s="26" t="s">
        <v>300</v>
      </c>
      <c r="AS14" s="34">
        <f>AM14+AN14</f>
        <v>8000</v>
      </c>
      <c r="AT14" s="34">
        <f>G14/(100-AU14)*100</f>
        <v>2000</v>
      </c>
      <c r="AU14" s="34">
        <v>0</v>
      </c>
      <c r="AV14" s="34">
        <f>L14</f>
        <v>1.28832</v>
      </c>
    </row>
    <row r="15" spans="1:48" ht="12.75">
      <c r="A15" s="4" t="s">
        <v>9</v>
      </c>
      <c r="B15" s="4"/>
      <c r="C15" s="4" t="s">
        <v>83</v>
      </c>
      <c r="D15" s="4" t="s">
        <v>167</v>
      </c>
      <c r="E15" s="4" t="s">
        <v>249</v>
      </c>
      <c r="F15" s="17">
        <v>6</v>
      </c>
      <c r="G15" s="17">
        <v>3500</v>
      </c>
      <c r="H15" s="17">
        <f>F15*AE15</f>
        <v>14766.271191636784</v>
      </c>
      <c r="I15" s="17">
        <f>J15-H15</f>
        <v>6233.728808363216</v>
      </c>
      <c r="J15" s="17">
        <f>F15*G15</f>
        <v>21000</v>
      </c>
      <c r="K15" s="17">
        <v>0.49589</v>
      </c>
      <c r="L15" s="17">
        <f>F15*K15</f>
        <v>2.97534</v>
      </c>
      <c r="M15" s="29" t="s">
        <v>271</v>
      </c>
      <c r="P15" s="34">
        <f>IF(AG15="5",J15,0)</f>
        <v>0</v>
      </c>
      <c r="R15" s="34">
        <f>IF(AG15="1",H15,0)</f>
        <v>14766.271191636784</v>
      </c>
      <c r="S15" s="34">
        <f>IF(AG15="1",I15,0)</f>
        <v>6233.728808363216</v>
      </c>
      <c r="T15" s="34">
        <f>IF(AG15="7",H15,0)</f>
        <v>0</v>
      </c>
      <c r="U15" s="34">
        <f>IF(AG15="7",I15,0)</f>
        <v>0</v>
      </c>
      <c r="V15" s="34">
        <f>IF(AG15="2",H15,0)</f>
        <v>0</v>
      </c>
      <c r="W15" s="34">
        <f>IF(AG15="2",I15,0)</f>
        <v>0</v>
      </c>
      <c r="X15" s="34">
        <f>IF(AG15="0",J15,0)</f>
        <v>0</v>
      </c>
      <c r="Y15" s="26"/>
      <c r="Z15" s="17">
        <f>IF(AD15=0,J15,0)</f>
        <v>0</v>
      </c>
      <c r="AA15" s="17">
        <f>IF(AD15=15,J15,0)</f>
        <v>0</v>
      </c>
      <c r="AB15" s="17">
        <f>IF(AD15=21,J15,0)</f>
        <v>21000</v>
      </c>
      <c r="AD15" s="34">
        <v>21</v>
      </c>
      <c r="AE15" s="34">
        <f>G15*0.703155771030323</f>
        <v>2461.0451986061307</v>
      </c>
      <c r="AF15" s="34">
        <f>G15*(1-0.703155771030323)</f>
        <v>1038.9548013938695</v>
      </c>
      <c r="AG15" s="29" t="s">
        <v>7</v>
      </c>
      <c r="AM15" s="34">
        <f>F15*AE15</f>
        <v>14766.271191636784</v>
      </c>
      <c r="AN15" s="34">
        <f>F15*AF15</f>
        <v>6233.7288083632175</v>
      </c>
      <c r="AO15" s="35" t="s">
        <v>281</v>
      </c>
      <c r="AP15" s="35" t="s">
        <v>294</v>
      </c>
      <c r="AQ15" s="26" t="s">
        <v>300</v>
      </c>
      <c r="AS15" s="34">
        <f>AM15+AN15</f>
        <v>21000</v>
      </c>
      <c r="AT15" s="34">
        <f>G15/(100-AU15)*100</f>
        <v>3500</v>
      </c>
      <c r="AU15" s="34">
        <v>0</v>
      </c>
      <c r="AV15" s="34">
        <f>L15</f>
        <v>2.97534</v>
      </c>
    </row>
    <row r="16" spans="1:37" ht="12.75">
      <c r="A16" s="5"/>
      <c r="B16" s="13"/>
      <c r="C16" s="13" t="s">
        <v>47</v>
      </c>
      <c r="D16" s="94" t="s">
        <v>168</v>
      </c>
      <c r="E16" s="95"/>
      <c r="F16" s="95"/>
      <c r="G16" s="95"/>
      <c r="H16" s="37">
        <f>SUM(H17:H19)</f>
        <v>78658.51835228137</v>
      </c>
      <c r="I16" s="37">
        <f>SUM(I17:I19)</f>
        <v>35916.481647718625</v>
      </c>
      <c r="J16" s="37">
        <f>H16+I16</f>
        <v>114575</v>
      </c>
      <c r="K16" s="26"/>
      <c r="L16" s="37">
        <f>SUM(L17:L19)</f>
        <v>29.25679495</v>
      </c>
      <c r="M16" s="26"/>
      <c r="Y16" s="26"/>
      <c r="AI16" s="37">
        <f>SUM(Z17:Z19)</f>
        <v>0</v>
      </c>
      <c r="AJ16" s="37">
        <f>SUM(AA17:AA19)</f>
        <v>0</v>
      </c>
      <c r="AK16" s="37">
        <f>SUM(AB17:AB19)</f>
        <v>114575</v>
      </c>
    </row>
    <row r="17" spans="1:48" ht="12.75">
      <c r="A17" s="4" t="s">
        <v>10</v>
      </c>
      <c r="B17" s="4"/>
      <c r="C17" s="4" t="s">
        <v>84</v>
      </c>
      <c r="D17" s="4" t="s">
        <v>169</v>
      </c>
      <c r="E17" s="4" t="s">
        <v>249</v>
      </c>
      <c r="F17" s="17">
        <v>202</v>
      </c>
      <c r="G17" s="17">
        <v>260</v>
      </c>
      <c r="H17" s="17">
        <f>F17*AE17</f>
        <v>31992.49565720903</v>
      </c>
      <c r="I17" s="17">
        <f>J17-H17</f>
        <v>20527.50434279097</v>
      </c>
      <c r="J17" s="17">
        <f>F17*G17</f>
        <v>52520</v>
      </c>
      <c r="K17" s="17">
        <v>0.01474</v>
      </c>
      <c r="L17" s="17">
        <f>F17*K17</f>
        <v>2.97748</v>
      </c>
      <c r="M17" s="29" t="s">
        <v>271</v>
      </c>
      <c r="P17" s="34">
        <f>IF(AG17="5",J17,0)</f>
        <v>0</v>
      </c>
      <c r="R17" s="34">
        <f>IF(AG17="1",H17,0)</f>
        <v>31992.49565720903</v>
      </c>
      <c r="S17" s="34">
        <f>IF(AG17="1",I17,0)</f>
        <v>20527.50434279097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6"/>
      <c r="Z17" s="17">
        <f>IF(AD17=0,J17,0)</f>
        <v>0</v>
      </c>
      <c r="AA17" s="17">
        <f>IF(AD17=15,J17,0)</f>
        <v>0</v>
      </c>
      <c r="AB17" s="17">
        <f>IF(AD17=21,J17,0)</f>
        <v>52520</v>
      </c>
      <c r="AD17" s="34">
        <v>21</v>
      </c>
      <c r="AE17" s="34">
        <f>G17*0.609148812970469</f>
        <v>158.37869137232192</v>
      </c>
      <c r="AF17" s="34">
        <f>G17*(1-0.609148812970469)</f>
        <v>101.62130862767808</v>
      </c>
      <c r="AG17" s="29" t="s">
        <v>7</v>
      </c>
      <c r="AM17" s="34">
        <f>F17*AE17</f>
        <v>31992.49565720903</v>
      </c>
      <c r="AN17" s="34">
        <f>F17*AF17</f>
        <v>20527.50434279097</v>
      </c>
      <c r="AO17" s="35" t="s">
        <v>282</v>
      </c>
      <c r="AP17" s="35" t="s">
        <v>295</v>
      </c>
      <c r="AQ17" s="26" t="s">
        <v>300</v>
      </c>
      <c r="AS17" s="34">
        <f>AM17+AN17</f>
        <v>52520</v>
      </c>
      <c r="AT17" s="34">
        <f>G17/(100-AU17)*100</f>
        <v>260</v>
      </c>
      <c r="AU17" s="34">
        <v>0</v>
      </c>
      <c r="AV17" s="34">
        <f>L17</f>
        <v>2.97748</v>
      </c>
    </row>
    <row r="18" spans="1:48" ht="12.75">
      <c r="A18" s="4" t="s">
        <v>11</v>
      </c>
      <c r="B18" s="4"/>
      <c r="C18" s="4" t="s">
        <v>85</v>
      </c>
      <c r="D18" s="4" t="s">
        <v>170</v>
      </c>
      <c r="E18" s="4" t="s">
        <v>250</v>
      </c>
      <c r="F18" s="17">
        <v>10.1</v>
      </c>
      <c r="G18" s="17">
        <v>3500</v>
      </c>
      <c r="H18" s="17">
        <f>F18*AE18</f>
        <v>28953.89112955302</v>
      </c>
      <c r="I18" s="17">
        <f>J18-H18</f>
        <v>6396.10887044698</v>
      </c>
      <c r="J18" s="17">
        <f>F18*G18</f>
        <v>35350</v>
      </c>
      <c r="K18" s="17">
        <v>2.52511</v>
      </c>
      <c r="L18" s="17">
        <f>F18*K18</f>
        <v>25.503611</v>
      </c>
      <c r="M18" s="29" t="s">
        <v>271</v>
      </c>
      <c r="P18" s="34">
        <f>IF(AG18="5",J18,0)</f>
        <v>0</v>
      </c>
      <c r="R18" s="34">
        <f>IF(AG18="1",H18,0)</f>
        <v>28953.89112955302</v>
      </c>
      <c r="S18" s="34">
        <f>IF(AG18="1",I18,0)</f>
        <v>6396.10887044698</v>
      </c>
      <c r="T18" s="34">
        <f>IF(AG18="7",H18,0)</f>
        <v>0</v>
      </c>
      <c r="U18" s="34">
        <f>IF(AG18="7",I18,0)</f>
        <v>0</v>
      </c>
      <c r="V18" s="34">
        <f>IF(AG18="2",H18,0)</f>
        <v>0</v>
      </c>
      <c r="W18" s="34">
        <f>IF(AG18="2",I18,0)</f>
        <v>0</v>
      </c>
      <c r="X18" s="34">
        <f>IF(AG18="0",J18,0)</f>
        <v>0</v>
      </c>
      <c r="Y18" s="26"/>
      <c r="Z18" s="17">
        <f>IF(AD18=0,J18,0)</f>
        <v>0</v>
      </c>
      <c r="AA18" s="17">
        <f>IF(AD18=15,J18,0)</f>
        <v>0</v>
      </c>
      <c r="AB18" s="17">
        <f>IF(AD18=21,J18,0)</f>
        <v>35350</v>
      </c>
      <c r="AD18" s="34">
        <v>21</v>
      </c>
      <c r="AE18" s="34">
        <f>G18*0.819063398290043</f>
        <v>2866.7218940151506</v>
      </c>
      <c r="AF18" s="34">
        <f>G18*(1-0.819063398290043)</f>
        <v>633.2781059848494</v>
      </c>
      <c r="AG18" s="29" t="s">
        <v>7</v>
      </c>
      <c r="AM18" s="34">
        <f>F18*AE18</f>
        <v>28953.89112955302</v>
      </c>
      <c r="AN18" s="34">
        <f>F18*AF18</f>
        <v>6396.1088704469785</v>
      </c>
      <c r="AO18" s="35" t="s">
        <v>282</v>
      </c>
      <c r="AP18" s="35" t="s">
        <v>295</v>
      </c>
      <c r="AQ18" s="26" t="s">
        <v>300</v>
      </c>
      <c r="AS18" s="34">
        <f>AM18+AN18</f>
        <v>35350</v>
      </c>
      <c r="AT18" s="34">
        <f>G18/(100-AU18)*100</f>
        <v>3500</v>
      </c>
      <c r="AU18" s="34">
        <v>0</v>
      </c>
      <c r="AV18" s="34">
        <f>L18</f>
        <v>25.503611</v>
      </c>
    </row>
    <row r="19" spans="1:48" ht="12.75">
      <c r="A19" s="4" t="s">
        <v>12</v>
      </c>
      <c r="B19" s="4"/>
      <c r="C19" s="4" t="s">
        <v>86</v>
      </c>
      <c r="D19" s="4" t="s">
        <v>171</v>
      </c>
      <c r="E19" s="4" t="s">
        <v>251</v>
      </c>
      <c r="F19" s="17">
        <v>0.763</v>
      </c>
      <c r="G19" s="17">
        <v>35000</v>
      </c>
      <c r="H19" s="17">
        <f>F19*AE19</f>
        <v>17712.13156551933</v>
      </c>
      <c r="I19" s="17">
        <f>J19-H19</f>
        <v>8992.868434480672</v>
      </c>
      <c r="J19" s="17">
        <f>F19*G19</f>
        <v>26705</v>
      </c>
      <c r="K19" s="17">
        <v>1.01665</v>
      </c>
      <c r="L19" s="17">
        <f>F19*K19</f>
        <v>0.77570395</v>
      </c>
      <c r="M19" s="29" t="s">
        <v>271</v>
      </c>
      <c r="P19" s="34">
        <f>IF(AG19="5",J19,0)</f>
        <v>0</v>
      </c>
      <c r="R19" s="34">
        <f>IF(AG19="1",H19,0)</f>
        <v>17712.13156551933</v>
      </c>
      <c r="S19" s="34">
        <f>IF(AG19="1",I19,0)</f>
        <v>8992.868434480672</v>
      </c>
      <c r="T19" s="34">
        <f>IF(AG19="7",H19,0)</f>
        <v>0</v>
      </c>
      <c r="U19" s="34">
        <f>IF(AG19="7",I19,0)</f>
        <v>0</v>
      </c>
      <c r="V19" s="34">
        <f>IF(AG19="2",H19,0)</f>
        <v>0</v>
      </c>
      <c r="W19" s="34">
        <f>IF(AG19="2",I19,0)</f>
        <v>0</v>
      </c>
      <c r="X19" s="34">
        <f>IF(AG19="0",J19,0)</f>
        <v>0</v>
      </c>
      <c r="Y19" s="26"/>
      <c r="Z19" s="17">
        <f>IF(AD19=0,J19,0)</f>
        <v>0</v>
      </c>
      <c r="AA19" s="17">
        <f>IF(AD19=15,J19,0)</f>
        <v>0</v>
      </c>
      <c r="AB19" s="17">
        <f>IF(AD19=21,J19,0)</f>
        <v>26705</v>
      </c>
      <c r="AD19" s="34">
        <v>21</v>
      </c>
      <c r="AE19" s="34">
        <f>G19*0.663251509661836</f>
        <v>23213.802838164258</v>
      </c>
      <c r="AF19" s="34">
        <f>G19*(1-0.663251509661836)</f>
        <v>11786.19716183574</v>
      </c>
      <c r="AG19" s="29" t="s">
        <v>7</v>
      </c>
      <c r="AM19" s="34">
        <f>F19*AE19</f>
        <v>17712.13156551933</v>
      </c>
      <c r="AN19" s="34">
        <f>F19*AF19</f>
        <v>8992.86843448067</v>
      </c>
      <c r="AO19" s="35" t="s">
        <v>282</v>
      </c>
      <c r="AP19" s="35" t="s">
        <v>295</v>
      </c>
      <c r="AQ19" s="26" t="s">
        <v>300</v>
      </c>
      <c r="AS19" s="34">
        <f>AM19+AN19</f>
        <v>26705</v>
      </c>
      <c r="AT19" s="34">
        <f>G19/(100-AU19)*100</f>
        <v>35000</v>
      </c>
      <c r="AU19" s="34">
        <v>0</v>
      </c>
      <c r="AV19" s="34">
        <f>L19</f>
        <v>0.77570395</v>
      </c>
    </row>
    <row r="20" spans="1:37" ht="12.75">
      <c r="A20" s="5"/>
      <c r="B20" s="13"/>
      <c r="C20" s="13" t="s">
        <v>68</v>
      </c>
      <c r="D20" s="94" t="s">
        <v>172</v>
      </c>
      <c r="E20" s="95"/>
      <c r="F20" s="95"/>
      <c r="G20" s="95"/>
      <c r="H20" s="37">
        <f>SUM(H21:H24)</f>
        <v>21922.963057549485</v>
      </c>
      <c r="I20" s="37">
        <f>SUM(I21:I24)</f>
        <v>91388.93594245052</v>
      </c>
      <c r="J20" s="37">
        <f>H20+I20</f>
        <v>113311.899</v>
      </c>
      <c r="K20" s="26"/>
      <c r="L20" s="37">
        <f>SUM(L21:L24)</f>
        <v>12.02252</v>
      </c>
      <c r="M20" s="26"/>
      <c r="Y20" s="26"/>
      <c r="AI20" s="37">
        <f>SUM(Z21:Z24)</f>
        <v>0</v>
      </c>
      <c r="AJ20" s="37">
        <f>SUM(AA21:AA24)</f>
        <v>0</v>
      </c>
      <c r="AK20" s="37">
        <f>SUM(AB21:AB24)</f>
        <v>113311.899</v>
      </c>
    </row>
    <row r="21" spans="1:48" ht="12.75">
      <c r="A21" s="4" t="s">
        <v>13</v>
      </c>
      <c r="B21" s="4"/>
      <c r="C21" s="4" t="s">
        <v>87</v>
      </c>
      <c r="D21" s="4" t="s">
        <v>173</v>
      </c>
      <c r="E21" s="4" t="s">
        <v>248</v>
      </c>
      <c r="F21" s="17">
        <v>86</v>
      </c>
      <c r="G21" s="17">
        <v>250</v>
      </c>
      <c r="H21" s="17">
        <f>F21*AE21</f>
        <v>5769.090909090919</v>
      </c>
      <c r="I21" s="17">
        <f>J21-H21</f>
        <v>15730.909090909081</v>
      </c>
      <c r="J21" s="17">
        <f>F21*G21</f>
        <v>21500</v>
      </c>
      <c r="K21" s="17">
        <v>0.00491</v>
      </c>
      <c r="L21" s="17">
        <f>F21*K21</f>
        <v>0.42226</v>
      </c>
      <c r="M21" s="29" t="s">
        <v>271</v>
      </c>
      <c r="P21" s="34">
        <f>IF(AG21="5",J21,0)</f>
        <v>0</v>
      </c>
      <c r="R21" s="34">
        <f>IF(AG21="1",H21,0)</f>
        <v>5769.090909090919</v>
      </c>
      <c r="S21" s="34">
        <f>IF(AG21="1",I21,0)</f>
        <v>15730.909090909081</v>
      </c>
      <c r="T21" s="34">
        <f>IF(AG21="7",H21,0)</f>
        <v>0</v>
      </c>
      <c r="U21" s="34">
        <f>IF(AG21="7",I21,0)</f>
        <v>0</v>
      </c>
      <c r="V21" s="34">
        <f>IF(AG21="2",H21,0)</f>
        <v>0</v>
      </c>
      <c r="W21" s="34">
        <f>IF(AG21="2",I21,0)</f>
        <v>0</v>
      </c>
      <c r="X21" s="34">
        <f>IF(AG21="0",J21,0)</f>
        <v>0</v>
      </c>
      <c r="Y21" s="26"/>
      <c r="Z21" s="17">
        <f>IF(AD21=0,J21,0)</f>
        <v>0</v>
      </c>
      <c r="AA21" s="17">
        <f>IF(AD21=15,J21,0)</f>
        <v>0</v>
      </c>
      <c r="AB21" s="17">
        <f>IF(AD21=21,J21,0)</f>
        <v>21500</v>
      </c>
      <c r="AD21" s="34">
        <v>21</v>
      </c>
      <c r="AE21" s="34">
        <f>G21*0.268329809725159</f>
        <v>67.08245243128975</v>
      </c>
      <c r="AF21" s="34">
        <f>G21*(1-0.268329809725159)</f>
        <v>182.91754756871026</v>
      </c>
      <c r="AG21" s="29" t="s">
        <v>7</v>
      </c>
      <c r="AM21" s="34">
        <f>F21*AE21</f>
        <v>5769.090909090919</v>
      </c>
      <c r="AN21" s="34">
        <f>F21*AF21</f>
        <v>15730.909090909083</v>
      </c>
      <c r="AO21" s="35" t="s">
        <v>283</v>
      </c>
      <c r="AP21" s="35" t="s">
        <v>296</v>
      </c>
      <c r="AQ21" s="26" t="s">
        <v>300</v>
      </c>
      <c r="AS21" s="34">
        <f>AM21+AN21</f>
        <v>21500</v>
      </c>
      <c r="AT21" s="34">
        <f>G21/(100-AU21)*100</f>
        <v>250</v>
      </c>
      <c r="AU21" s="34">
        <v>0</v>
      </c>
      <c r="AV21" s="34">
        <f>L21</f>
        <v>0.42226</v>
      </c>
    </row>
    <row r="22" spans="1:48" ht="12.75">
      <c r="A22" s="4" t="s">
        <v>14</v>
      </c>
      <c r="B22" s="4"/>
      <c r="C22" s="4" t="s">
        <v>88</v>
      </c>
      <c r="D22" s="4" t="s">
        <v>174</v>
      </c>
      <c r="E22" s="4" t="s">
        <v>248</v>
      </c>
      <c r="F22" s="17">
        <v>113</v>
      </c>
      <c r="G22" s="17">
        <v>380</v>
      </c>
      <c r="H22" s="17">
        <f>F22*AE22</f>
        <v>9267.11261538463</v>
      </c>
      <c r="I22" s="17">
        <f>J22-H22</f>
        <v>33672.88738461537</v>
      </c>
      <c r="J22" s="17">
        <f>F22*G22</f>
        <v>42940</v>
      </c>
      <c r="K22" s="17">
        <v>0.07172</v>
      </c>
      <c r="L22" s="17">
        <f>F22*K22</f>
        <v>8.10436</v>
      </c>
      <c r="M22" s="29" t="s">
        <v>271</v>
      </c>
      <c r="P22" s="34">
        <f>IF(AG22="5",J22,0)</f>
        <v>0</v>
      </c>
      <c r="R22" s="34">
        <f>IF(AG22="1",H22,0)</f>
        <v>9267.11261538463</v>
      </c>
      <c r="S22" s="34">
        <f>IF(AG22="1",I22,0)</f>
        <v>33672.88738461537</v>
      </c>
      <c r="T22" s="34">
        <f>IF(AG22="7",H22,0)</f>
        <v>0</v>
      </c>
      <c r="U22" s="34">
        <f>IF(AG22="7",I22,0)</f>
        <v>0</v>
      </c>
      <c r="V22" s="34">
        <f>IF(AG22="2",H22,0)</f>
        <v>0</v>
      </c>
      <c r="W22" s="34">
        <f>IF(AG22="2",I22,0)</f>
        <v>0</v>
      </c>
      <c r="X22" s="34">
        <f>IF(AG22="0",J22,0)</f>
        <v>0</v>
      </c>
      <c r="Y22" s="26"/>
      <c r="Z22" s="17">
        <f>IF(AD22=0,J22,0)</f>
        <v>0</v>
      </c>
      <c r="AA22" s="17">
        <f>IF(AD22=15,J22,0)</f>
        <v>0</v>
      </c>
      <c r="AB22" s="17">
        <f>IF(AD22=21,J22,0)</f>
        <v>42940</v>
      </c>
      <c r="AD22" s="34">
        <v>21</v>
      </c>
      <c r="AE22" s="34">
        <f>G22*0.215815384615385</f>
        <v>82.0098461538463</v>
      </c>
      <c r="AF22" s="34">
        <f>G22*(1-0.215815384615385)</f>
        <v>297.9901538461537</v>
      </c>
      <c r="AG22" s="29" t="s">
        <v>7</v>
      </c>
      <c r="AM22" s="34">
        <f>F22*AE22</f>
        <v>9267.11261538463</v>
      </c>
      <c r="AN22" s="34">
        <f>F22*AF22</f>
        <v>33672.887384615366</v>
      </c>
      <c r="AO22" s="35" t="s">
        <v>283</v>
      </c>
      <c r="AP22" s="35" t="s">
        <v>296</v>
      </c>
      <c r="AQ22" s="26" t="s">
        <v>300</v>
      </c>
      <c r="AS22" s="34">
        <f>AM22+AN22</f>
        <v>42940</v>
      </c>
      <c r="AT22" s="34">
        <f>G22/(100-AU22)*100</f>
        <v>380</v>
      </c>
      <c r="AU22" s="34">
        <v>0</v>
      </c>
      <c r="AV22" s="34">
        <f>L22</f>
        <v>8.10436</v>
      </c>
    </row>
    <row r="23" spans="1:48" ht="12.75">
      <c r="A23" s="4" t="s">
        <v>15</v>
      </c>
      <c r="B23" s="4"/>
      <c r="C23" s="4" t="s">
        <v>89</v>
      </c>
      <c r="D23" s="4" t="s">
        <v>175</v>
      </c>
      <c r="E23" s="4" t="s">
        <v>248</v>
      </c>
      <c r="F23" s="17">
        <v>86</v>
      </c>
      <c r="G23" s="17">
        <v>340</v>
      </c>
      <c r="H23" s="17">
        <f>F23*AE23</f>
        <v>6886.759533073936</v>
      </c>
      <c r="I23" s="17">
        <f>J23-H23</f>
        <v>22353.240466926065</v>
      </c>
      <c r="J23" s="17">
        <f>F23*G23</f>
        <v>29240</v>
      </c>
      <c r="K23" s="17">
        <v>0.04065</v>
      </c>
      <c r="L23" s="17">
        <f>F23*K23</f>
        <v>3.4959</v>
      </c>
      <c r="M23" s="29" t="s">
        <v>271</v>
      </c>
      <c r="P23" s="34">
        <f>IF(AG23="5",J23,0)</f>
        <v>0</v>
      </c>
      <c r="R23" s="34">
        <f>IF(AG23="1",H23,0)</f>
        <v>6886.759533073936</v>
      </c>
      <c r="S23" s="34">
        <f>IF(AG23="1",I23,0)</f>
        <v>22353.240466926065</v>
      </c>
      <c r="T23" s="34">
        <f>IF(AG23="7",H23,0)</f>
        <v>0</v>
      </c>
      <c r="U23" s="34">
        <f>IF(AG23="7",I23,0)</f>
        <v>0</v>
      </c>
      <c r="V23" s="34">
        <f>IF(AG23="2",H23,0)</f>
        <v>0</v>
      </c>
      <c r="W23" s="34">
        <f>IF(AG23="2",I23,0)</f>
        <v>0</v>
      </c>
      <c r="X23" s="34">
        <f>IF(AG23="0",J23,0)</f>
        <v>0</v>
      </c>
      <c r="Y23" s="26"/>
      <c r="Z23" s="17">
        <f>IF(AD23=0,J23,0)</f>
        <v>0</v>
      </c>
      <c r="AA23" s="17">
        <f>IF(AD23=15,J23,0)</f>
        <v>0</v>
      </c>
      <c r="AB23" s="17">
        <f>IF(AD23=21,J23,0)</f>
        <v>29240</v>
      </c>
      <c r="AD23" s="34">
        <v>21</v>
      </c>
      <c r="AE23" s="34">
        <f>G23*0.235525291828794</f>
        <v>80.07859922178996</v>
      </c>
      <c r="AF23" s="34">
        <f>G23*(1-0.235525291828794)</f>
        <v>259.92140077821006</v>
      </c>
      <c r="AG23" s="29" t="s">
        <v>7</v>
      </c>
      <c r="AM23" s="34">
        <f>F23*AE23</f>
        <v>6886.759533073936</v>
      </c>
      <c r="AN23" s="34">
        <f>F23*AF23</f>
        <v>22353.240466926065</v>
      </c>
      <c r="AO23" s="35" t="s">
        <v>283</v>
      </c>
      <c r="AP23" s="35" t="s">
        <v>296</v>
      </c>
      <c r="AQ23" s="26" t="s">
        <v>300</v>
      </c>
      <c r="AS23" s="34">
        <f>AM23+AN23</f>
        <v>29240</v>
      </c>
      <c r="AT23" s="34">
        <f>G23/(100-AU23)*100</f>
        <v>340</v>
      </c>
      <c r="AU23" s="34">
        <v>0</v>
      </c>
      <c r="AV23" s="34">
        <f>L23</f>
        <v>3.4959</v>
      </c>
    </row>
    <row r="24" spans="1:48" ht="12.75">
      <c r="A24" s="4" t="s">
        <v>16</v>
      </c>
      <c r="B24" s="4"/>
      <c r="C24" s="4" t="s">
        <v>90</v>
      </c>
      <c r="D24" s="4" t="s">
        <v>176</v>
      </c>
      <c r="E24" s="4" t="s">
        <v>251</v>
      </c>
      <c r="F24" s="17">
        <v>56.09114</v>
      </c>
      <c r="G24" s="17">
        <v>350</v>
      </c>
      <c r="H24" s="17">
        <f>F24*AE24</f>
        <v>0</v>
      </c>
      <c r="I24" s="17">
        <f>J24-H24</f>
        <v>19631.899</v>
      </c>
      <c r="J24" s="17">
        <f>F24*G24</f>
        <v>19631.899</v>
      </c>
      <c r="K24" s="17">
        <v>0</v>
      </c>
      <c r="L24" s="17">
        <f>F24*K24</f>
        <v>0</v>
      </c>
      <c r="M24" s="29" t="s">
        <v>271</v>
      </c>
      <c r="P24" s="34">
        <f>IF(AG24="5",J24,0)</f>
        <v>19631.899</v>
      </c>
      <c r="R24" s="34">
        <f>IF(AG24="1",H24,0)</f>
        <v>0</v>
      </c>
      <c r="S24" s="34">
        <f>IF(AG24="1",I24,0)</f>
        <v>0</v>
      </c>
      <c r="T24" s="34">
        <f>IF(AG24="7",H24,0)</f>
        <v>0</v>
      </c>
      <c r="U24" s="34">
        <f>IF(AG24="7",I24,0)</f>
        <v>0</v>
      </c>
      <c r="V24" s="34">
        <f>IF(AG24="2",H24,0)</f>
        <v>0</v>
      </c>
      <c r="W24" s="34">
        <f>IF(AG24="2",I24,0)</f>
        <v>0</v>
      </c>
      <c r="X24" s="34">
        <f>IF(AG24="0",J24,0)</f>
        <v>0</v>
      </c>
      <c r="Y24" s="26"/>
      <c r="Z24" s="17">
        <f>IF(AD24=0,J24,0)</f>
        <v>0</v>
      </c>
      <c r="AA24" s="17">
        <f>IF(AD24=15,J24,0)</f>
        <v>0</v>
      </c>
      <c r="AB24" s="17">
        <f>IF(AD24=21,J24,0)</f>
        <v>19631.899</v>
      </c>
      <c r="AD24" s="34">
        <v>21</v>
      </c>
      <c r="AE24" s="34">
        <f>G24*0</f>
        <v>0</v>
      </c>
      <c r="AF24" s="34">
        <f>G24*(1-0)</f>
        <v>350</v>
      </c>
      <c r="AG24" s="29" t="s">
        <v>11</v>
      </c>
      <c r="AM24" s="34">
        <f>F24*AE24</f>
        <v>0</v>
      </c>
      <c r="AN24" s="34">
        <f>F24*AF24</f>
        <v>19631.899</v>
      </c>
      <c r="AO24" s="35" t="s">
        <v>283</v>
      </c>
      <c r="AP24" s="35" t="s">
        <v>296</v>
      </c>
      <c r="AQ24" s="26" t="s">
        <v>300</v>
      </c>
      <c r="AS24" s="34">
        <f>AM24+AN24</f>
        <v>19631.899</v>
      </c>
      <c r="AT24" s="34">
        <f>G24/(100-AU24)*100</f>
        <v>350</v>
      </c>
      <c r="AU24" s="34">
        <v>0</v>
      </c>
      <c r="AV24" s="34">
        <f>L24</f>
        <v>0</v>
      </c>
    </row>
    <row r="25" spans="1:37" ht="12.75">
      <c r="A25" s="5"/>
      <c r="B25" s="13"/>
      <c r="C25" s="13" t="s">
        <v>91</v>
      </c>
      <c r="D25" s="94" t="s">
        <v>177</v>
      </c>
      <c r="E25" s="95"/>
      <c r="F25" s="95"/>
      <c r="G25" s="95"/>
      <c r="H25" s="37">
        <f>SUM(H26:H27)</f>
        <v>0</v>
      </c>
      <c r="I25" s="37">
        <f>SUM(I26:I27)</f>
        <v>12741</v>
      </c>
      <c r="J25" s="37">
        <f>H25+I25</f>
        <v>12741</v>
      </c>
      <c r="K25" s="26"/>
      <c r="L25" s="37">
        <f>SUM(L26:L27)</f>
        <v>1.302</v>
      </c>
      <c r="M25" s="26"/>
      <c r="Y25" s="26"/>
      <c r="AI25" s="37">
        <f>SUM(Z26:Z27)</f>
        <v>0</v>
      </c>
      <c r="AJ25" s="37">
        <f>SUM(AA26:AA27)</f>
        <v>0</v>
      </c>
      <c r="AK25" s="37">
        <f>SUM(AB26:AB27)</f>
        <v>12741</v>
      </c>
    </row>
    <row r="26" spans="1:48" ht="12.75">
      <c r="A26" s="4" t="s">
        <v>17</v>
      </c>
      <c r="B26" s="4"/>
      <c r="C26" s="4" t="s">
        <v>92</v>
      </c>
      <c r="D26" s="4" t="s">
        <v>178</v>
      </c>
      <c r="E26" s="4" t="s">
        <v>248</v>
      </c>
      <c r="F26" s="17">
        <v>93</v>
      </c>
      <c r="G26" s="17">
        <v>130</v>
      </c>
      <c r="H26" s="17">
        <f>F26*AE26</f>
        <v>0</v>
      </c>
      <c r="I26" s="17">
        <f>J26-H26</f>
        <v>12090</v>
      </c>
      <c r="J26" s="17">
        <f>F26*G26</f>
        <v>12090</v>
      </c>
      <c r="K26" s="17">
        <v>0.014</v>
      </c>
      <c r="L26" s="17">
        <f>F26*K26</f>
        <v>1.302</v>
      </c>
      <c r="M26" s="29" t="s">
        <v>271</v>
      </c>
      <c r="P26" s="34">
        <f>IF(AG26="5",J26,0)</f>
        <v>0</v>
      </c>
      <c r="R26" s="34">
        <f>IF(AG26="1",H26,0)</f>
        <v>0</v>
      </c>
      <c r="S26" s="34">
        <f>IF(AG26="1",I26,0)</f>
        <v>0</v>
      </c>
      <c r="T26" s="34">
        <f>IF(AG26="7",H26,0)</f>
        <v>0</v>
      </c>
      <c r="U26" s="34">
        <f>IF(AG26="7",I26,0)</f>
        <v>12090</v>
      </c>
      <c r="V26" s="34">
        <f>IF(AG26="2",H26,0)</f>
        <v>0</v>
      </c>
      <c r="W26" s="34">
        <f>IF(AG26="2",I26,0)</f>
        <v>0</v>
      </c>
      <c r="X26" s="34">
        <f>IF(AG26="0",J26,0)</f>
        <v>0</v>
      </c>
      <c r="Y26" s="26"/>
      <c r="Z26" s="17">
        <f>IF(AD26=0,J26,0)</f>
        <v>0</v>
      </c>
      <c r="AA26" s="17">
        <f>IF(AD26=15,J26,0)</f>
        <v>0</v>
      </c>
      <c r="AB26" s="17">
        <f>IF(AD26=21,J26,0)</f>
        <v>12090</v>
      </c>
      <c r="AD26" s="34">
        <v>21</v>
      </c>
      <c r="AE26" s="34">
        <f>G26*0</f>
        <v>0</v>
      </c>
      <c r="AF26" s="34">
        <f>G26*(1-0)</f>
        <v>130</v>
      </c>
      <c r="AG26" s="29" t="s">
        <v>13</v>
      </c>
      <c r="AM26" s="34">
        <f>F26*AE26</f>
        <v>0</v>
      </c>
      <c r="AN26" s="34">
        <f>F26*AF26</f>
        <v>12090</v>
      </c>
      <c r="AO26" s="35" t="s">
        <v>284</v>
      </c>
      <c r="AP26" s="35" t="s">
        <v>297</v>
      </c>
      <c r="AQ26" s="26" t="s">
        <v>300</v>
      </c>
      <c r="AS26" s="34">
        <f>AM26+AN26</f>
        <v>12090</v>
      </c>
      <c r="AT26" s="34">
        <f>G26/(100-AU26)*100</f>
        <v>130</v>
      </c>
      <c r="AU26" s="34">
        <v>0</v>
      </c>
      <c r="AV26" s="34">
        <f>L26</f>
        <v>1.302</v>
      </c>
    </row>
    <row r="27" spans="1:48" ht="12.75">
      <c r="A27" s="4" t="s">
        <v>18</v>
      </c>
      <c r="B27" s="4"/>
      <c r="C27" s="4" t="s">
        <v>93</v>
      </c>
      <c r="D27" s="4" t="s">
        <v>179</v>
      </c>
      <c r="E27" s="4" t="s">
        <v>251</v>
      </c>
      <c r="F27" s="17">
        <v>1.302</v>
      </c>
      <c r="G27" s="17">
        <v>500</v>
      </c>
      <c r="H27" s="17">
        <f>F27*AE27</f>
        <v>0</v>
      </c>
      <c r="I27" s="17">
        <f>J27-H27</f>
        <v>651</v>
      </c>
      <c r="J27" s="17">
        <f>F27*G27</f>
        <v>651</v>
      </c>
      <c r="K27" s="17">
        <v>0</v>
      </c>
      <c r="L27" s="17">
        <f>F27*K27</f>
        <v>0</v>
      </c>
      <c r="M27" s="29" t="s">
        <v>271</v>
      </c>
      <c r="P27" s="34">
        <f>IF(AG27="5",J27,0)</f>
        <v>651</v>
      </c>
      <c r="R27" s="34">
        <f>IF(AG27="1",H27,0)</f>
        <v>0</v>
      </c>
      <c r="S27" s="34">
        <f>IF(AG27="1",I27,0)</f>
        <v>0</v>
      </c>
      <c r="T27" s="34">
        <f>IF(AG27="7",H27,0)</f>
        <v>0</v>
      </c>
      <c r="U27" s="34">
        <f>IF(AG27="7",I27,0)</f>
        <v>0</v>
      </c>
      <c r="V27" s="34">
        <f>IF(AG27="2",H27,0)</f>
        <v>0</v>
      </c>
      <c r="W27" s="34">
        <f>IF(AG27="2",I27,0)</f>
        <v>0</v>
      </c>
      <c r="X27" s="34">
        <f>IF(AG27="0",J27,0)</f>
        <v>0</v>
      </c>
      <c r="Y27" s="26"/>
      <c r="Z27" s="17">
        <f>IF(AD27=0,J27,0)</f>
        <v>0</v>
      </c>
      <c r="AA27" s="17">
        <f>IF(AD27=15,J27,0)</f>
        <v>0</v>
      </c>
      <c r="AB27" s="17">
        <f>IF(AD27=21,J27,0)</f>
        <v>651</v>
      </c>
      <c r="AD27" s="34">
        <v>21</v>
      </c>
      <c r="AE27" s="34">
        <f>G27*0</f>
        <v>0</v>
      </c>
      <c r="AF27" s="34">
        <f>G27*(1-0)</f>
        <v>500</v>
      </c>
      <c r="AG27" s="29" t="s">
        <v>11</v>
      </c>
      <c r="AM27" s="34">
        <f>F27*AE27</f>
        <v>0</v>
      </c>
      <c r="AN27" s="34">
        <f>F27*AF27</f>
        <v>651</v>
      </c>
      <c r="AO27" s="35" t="s">
        <v>284</v>
      </c>
      <c r="AP27" s="35" t="s">
        <v>297</v>
      </c>
      <c r="AQ27" s="26" t="s">
        <v>300</v>
      </c>
      <c r="AS27" s="34">
        <f>AM27+AN27</f>
        <v>651</v>
      </c>
      <c r="AT27" s="34">
        <f>G27/(100-AU27)*100</f>
        <v>500</v>
      </c>
      <c r="AU27" s="34">
        <v>0</v>
      </c>
      <c r="AV27" s="34">
        <f>L27</f>
        <v>0</v>
      </c>
    </row>
    <row r="28" spans="1:37" ht="12.75">
      <c r="A28" s="5"/>
      <c r="B28" s="13"/>
      <c r="C28" s="13" t="s">
        <v>94</v>
      </c>
      <c r="D28" s="94" t="s">
        <v>180</v>
      </c>
      <c r="E28" s="95"/>
      <c r="F28" s="95"/>
      <c r="G28" s="95"/>
      <c r="H28" s="37">
        <f>SUM(H29:H44)</f>
        <v>352346.74262380245</v>
      </c>
      <c r="I28" s="37">
        <f>SUM(I29:I44)</f>
        <v>115113.25737619755</v>
      </c>
      <c r="J28" s="37">
        <f>H28+I28</f>
        <v>467460</v>
      </c>
      <c r="K28" s="26"/>
      <c r="L28" s="37">
        <f>SUM(L29:L44)</f>
        <v>37.40839851500001</v>
      </c>
      <c r="M28" s="26"/>
      <c r="Y28" s="26"/>
      <c r="AI28" s="37">
        <f>SUM(Z29:Z44)</f>
        <v>0</v>
      </c>
      <c r="AJ28" s="37">
        <f>SUM(AA29:AA44)</f>
        <v>0</v>
      </c>
      <c r="AK28" s="37">
        <f>SUM(AB29:AB44)</f>
        <v>467460</v>
      </c>
    </row>
    <row r="29" spans="1:48" ht="12.75">
      <c r="A29" s="4" t="s">
        <v>19</v>
      </c>
      <c r="B29" s="4"/>
      <c r="C29" s="4" t="s">
        <v>95</v>
      </c>
      <c r="D29" s="4" t="s">
        <v>181</v>
      </c>
      <c r="E29" s="4" t="s">
        <v>248</v>
      </c>
      <c r="F29" s="17">
        <v>374</v>
      </c>
      <c r="G29" s="17">
        <v>130</v>
      </c>
      <c r="H29" s="17">
        <f aca="true" t="shared" si="0" ref="H29:H44">F29*AE29</f>
        <v>0</v>
      </c>
      <c r="I29" s="17">
        <f aca="true" t="shared" si="1" ref="I29:I44">J29-H29</f>
        <v>48620</v>
      </c>
      <c r="J29" s="17">
        <f aca="true" t="shared" si="2" ref="J29:J44">F29*G29</f>
        <v>48620</v>
      </c>
      <c r="K29" s="17">
        <v>0.014</v>
      </c>
      <c r="L29" s="17">
        <f aca="true" t="shared" si="3" ref="L29:L44">F29*K29</f>
        <v>5.236</v>
      </c>
      <c r="M29" s="29" t="s">
        <v>271</v>
      </c>
      <c r="P29" s="34">
        <f aca="true" t="shared" si="4" ref="P29:P44">IF(AG29="5",J29,0)</f>
        <v>0</v>
      </c>
      <c r="R29" s="34">
        <f aca="true" t="shared" si="5" ref="R29:R44">IF(AG29="1",H29,0)</f>
        <v>0</v>
      </c>
      <c r="S29" s="34">
        <f aca="true" t="shared" si="6" ref="S29:S44">IF(AG29="1",I29,0)</f>
        <v>0</v>
      </c>
      <c r="T29" s="34">
        <f aca="true" t="shared" si="7" ref="T29:T44">IF(AG29="7",H29,0)</f>
        <v>0</v>
      </c>
      <c r="U29" s="34">
        <f aca="true" t="shared" si="8" ref="U29:U44">IF(AG29="7",I29,0)</f>
        <v>48620</v>
      </c>
      <c r="V29" s="34">
        <f aca="true" t="shared" si="9" ref="V29:V44">IF(AG29="2",H29,0)</f>
        <v>0</v>
      </c>
      <c r="W29" s="34">
        <f aca="true" t="shared" si="10" ref="W29:W44">IF(AG29="2",I29,0)</f>
        <v>0</v>
      </c>
      <c r="X29" s="34">
        <f aca="true" t="shared" si="11" ref="X29:X44">IF(AG29="0",J29,0)</f>
        <v>0</v>
      </c>
      <c r="Y29" s="26"/>
      <c r="Z29" s="17">
        <f aca="true" t="shared" si="12" ref="Z29:Z44">IF(AD29=0,J29,0)</f>
        <v>0</v>
      </c>
      <c r="AA29" s="17">
        <f aca="true" t="shared" si="13" ref="AA29:AA44">IF(AD29=15,J29,0)</f>
        <v>0</v>
      </c>
      <c r="AB29" s="17">
        <f aca="true" t="shared" si="14" ref="AB29:AB44">IF(AD29=21,J29,0)</f>
        <v>48620</v>
      </c>
      <c r="AD29" s="34">
        <v>21</v>
      </c>
      <c r="AE29" s="34">
        <f>G29*0</f>
        <v>0</v>
      </c>
      <c r="AF29" s="34">
        <f>G29*(1-0)</f>
        <v>130</v>
      </c>
      <c r="AG29" s="29" t="s">
        <v>13</v>
      </c>
      <c r="AM29" s="34">
        <f aca="true" t="shared" si="15" ref="AM29:AM44">F29*AE29</f>
        <v>0</v>
      </c>
      <c r="AN29" s="34">
        <f aca="true" t="shared" si="16" ref="AN29:AN44">F29*AF29</f>
        <v>48620</v>
      </c>
      <c r="AO29" s="35" t="s">
        <v>285</v>
      </c>
      <c r="AP29" s="35" t="s">
        <v>298</v>
      </c>
      <c r="AQ29" s="26" t="s">
        <v>300</v>
      </c>
      <c r="AS29" s="34">
        <f aca="true" t="shared" si="17" ref="AS29:AS44">AM29+AN29</f>
        <v>48620</v>
      </c>
      <c r="AT29" s="34">
        <f aca="true" t="shared" si="18" ref="AT29:AT44">G29/(100-AU29)*100</f>
        <v>130</v>
      </c>
      <c r="AU29" s="34">
        <v>0</v>
      </c>
      <c r="AV29" s="34">
        <f aca="true" t="shared" si="19" ref="AV29:AV44">L29</f>
        <v>5.236</v>
      </c>
    </row>
    <row r="30" spans="1:48" ht="12.75">
      <c r="A30" s="4" t="s">
        <v>20</v>
      </c>
      <c r="B30" s="4"/>
      <c r="C30" s="4" t="s">
        <v>96</v>
      </c>
      <c r="D30" s="4" t="s">
        <v>182</v>
      </c>
      <c r="E30" s="4" t="s">
        <v>249</v>
      </c>
      <c r="F30" s="17">
        <v>490</v>
      </c>
      <c r="G30" s="17">
        <v>60</v>
      </c>
      <c r="H30" s="17">
        <f t="shared" si="0"/>
        <v>2688.040105037</v>
      </c>
      <c r="I30" s="17">
        <f t="shared" si="1"/>
        <v>26711.959894963</v>
      </c>
      <c r="J30" s="17">
        <f t="shared" si="2"/>
        <v>29400</v>
      </c>
      <c r="K30" s="17">
        <v>0.01016</v>
      </c>
      <c r="L30" s="17">
        <f t="shared" si="3"/>
        <v>4.978400000000001</v>
      </c>
      <c r="M30" s="29" t="s">
        <v>271</v>
      </c>
      <c r="P30" s="34">
        <f t="shared" si="4"/>
        <v>0</v>
      </c>
      <c r="R30" s="34">
        <f t="shared" si="5"/>
        <v>0</v>
      </c>
      <c r="S30" s="34">
        <f t="shared" si="6"/>
        <v>0</v>
      </c>
      <c r="T30" s="34">
        <f t="shared" si="7"/>
        <v>2688.040105037</v>
      </c>
      <c r="U30" s="34">
        <f t="shared" si="8"/>
        <v>26711.959894963</v>
      </c>
      <c r="V30" s="34">
        <f t="shared" si="9"/>
        <v>0</v>
      </c>
      <c r="W30" s="34">
        <f t="shared" si="10"/>
        <v>0</v>
      </c>
      <c r="X30" s="34">
        <f t="shared" si="11"/>
        <v>0</v>
      </c>
      <c r="Y30" s="26"/>
      <c r="Z30" s="17">
        <f t="shared" si="12"/>
        <v>0</v>
      </c>
      <c r="AA30" s="17">
        <f t="shared" si="13"/>
        <v>0</v>
      </c>
      <c r="AB30" s="17">
        <f t="shared" si="14"/>
        <v>29400</v>
      </c>
      <c r="AD30" s="34">
        <v>21</v>
      </c>
      <c r="AE30" s="34">
        <f>G30*0.0914299355454762</f>
        <v>5.485796132728572</v>
      </c>
      <c r="AF30" s="34">
        <f>G30*(1-0.0914299355454762)</f>
        <v>54.514203867271426</v>
      </c>
      <c r="AG30" s="29" t="s">
        <v>13</v>
      </c>
      <c r="AM30" s="34">
        <f t="shared" si="15"/>
        <v>2688.040105037</v>
      </c>
      <c r="AN30" s="34">
        <f t="shared" si="16"/>
        <v>26711.959894962998</v>
      </c>
      <c r="AO30" s="35" t="s">
        <v>285</v>
      </c>
      <c r="AP30" s="35" t="s">
        <v>298</v>
      </c>
      <c r="AQ30" s="26" t="s">
        <v>300</v>
      </c>
      <c r="AS30" s="34">
        <f t="shared" si="17"/>
        <v>29400</v>
      </c>
      <c r="AT30" s="34">
        <f t="shared" si="18"/>
        <v>60</v>
      </c>
      <c r="AU30" s="34">
        <v>0</v>
      </c>
      <c r="AV30" s="34">
        <f t="shared" si="19"/>
        <v>4.978400000000001</v>
      </c>
    </row>
    <row r="31" spans="1:48" ht="12.75">
      <c r="A31" s="4" t="s">
        <v>21</v>
      </c>
      <c r="B31" s="4"/>
      <c r="C31" s="4" t="s">
        <v>97</v>
      </c>
      <c r="D31" s="4" t="s">
        <v>183</v>
      </c>
      <c r="E31" s="4" t="s">
        <v>249</v>
      </c>
      <c r="F31" s="17">
        <v>264</v>
      </c>
      <c r="G31" s="17">
        <v>60</v>
      </c>
      <c r="H31" s="17">
        <f t="shared" si="0"/>
        <v>1713.2787348206746</v>
      </c>
      <c r="I31" s="17">
        <f t="shared" si="1"/>
        <v>14126.721265179325</v>
      </c>
      <c r="J31" s="17">
        <f t="shared" si="2"/>
        <v>15840</v>
      </c>
      <c r="K31" s="17">
        <v>0.00616</v>
      </c>
      <c r="L31" s="17">
        <f t="shared" si="3"/>
        <v>1.62624</v>
      </c>
      <c r="M31" s="29" t="s">
        <v>271</v>
      </c>
      <c r="P31" s="34">
        <f t="shared" si="4"/>
        <v>0</v>
      </c>
      <c r="R31" s="34">
        <f t="shared" si="5"/>
        <v>0</v>
      </c>
      <c r="S31" s="34">
        <f t="shared" si="6"/>
        <v>0</v>
      </c>
      <c r="T31" s="34">
        <f t="shared" si="7"/>
        <v>1713.2787348206746</v>
      </c>
      <c r="U31" s="34">
        <f t="shared" si="8"/>
        <v>14126.721265179325</v>
      </c>
      <c r="V31" s="34">
        <f t="shared" si="9"/>
        <v>0</v>
      </c>
      <c r="W31" s="34">
        <f t="shared" si="10"/>
        <v>0</v>
      </c>
      <c r="X31" s="34">
        <f t="shared" si="11"/>
        <v>0</v>
      </c>
      <c r="Y31" s="26"/>
      <c r="Z31" s="17">
        <f t="shared" si="12"/>
        <v>0</v>
      </c>
      <c r="AA31" s="17">
        <f t="shared" si="13"/>
        <v>0</v>
      </c>
      <c r="AB31" s="17">
        <f t="shared" si="14"/>
        <v>15840</v>
      </c>
      <c r="AD31" s="34">
        <v>21</v>
      </c>
      <c r="AE31" s="34">
        <f>G31*0.108161536289184</f>
        <v>6.48969217735104</v>
      </c>
      <c r="AF31" s="34">
        <f>G31*(1-0.108161536289184)</f>
        <v>53.51030782264896</v>
      </c>
      <c r="AG31" s="29" t="s">
        <v>13</v>
      </c>
      <c r="AM31" s="34">
        <f t="shared" si="15"/>
        <v>1713.2787348206746</v>
      </c>
      <c r="AN31" s="34">
        <f t="shared" si="16"/>
        <v>14126.721265179325</v>
      </c>
      <c r="AO31" s="35" t="s">
        <v>285</v>
      </c>
      <c r="AP31" s="35" t="s">
        <v>298</v>
      </c>
      <c r="AQ31" s="26" t="s">
        <v>300</v>
      </c>
      <c r="AS31" s="34">
        <f t="shared" si="17"/>
        <v>15840</v>
      </c>
      <c r="AT31" s="34">
        <f t="shared" si="18"/>
        <v>60</v>
      </c>
      <c r="AU31" s="34">
        <v>0</v>
      </c>
      <c r="AV31" s="34">
        <f t="shared" si="19"/>
        <v>1.62624</v>
      </c>
    </row>
    <row r="32" spans="1:48" ht="12.75">
      <c r="A32" s="4" t="s">
        <v>22</v>
      </c>
      <c r="B32" s="4"/>
      <c r="C32" s="4" t="s">
        <v>98</v>
      </c>
      <c r="D32" s="4" t="s">
        <v>184</v>
      </c>
      <c r="E32" s="4" t="s">
        <v>249</v>
      </c>
      <c r="F32" s="17">
        <v>104</v>
      </c>
      <c r="G32" s="17">
        <v>100</v>
      </c>
      <c r="H32" s="17">
        <f t="shared" si="0"/>
        <v>722.7726365450916</v>
      </c>
      <c r="I32" s="17">
        <f t="shared" si="1"/>
        <v>9677.22736345491</v>
      </c>
      <c r="J32" s="17">
        <f t="shared" si="2"/>
        <v>10400</v>
      </c>
      <c r="K32" s="17">
        <v>0.02316</v>
      </c>
      <c r="L32" s="17">
        <f t="shared" si="3"/>
        <v>2.40864</v>
      </c>
      <c r="M32" s="29" t="s">
        <v>271</v>
      </c>
      <c r="P32" s="34">
        <f t="shared" si="4"/>
        <v>0</v>
      </c>
      <c r="R32" s="34">
        <f t="shared" si="5"/>
        <v>0</v>
      </c>
      <c r="S32" s="34">
        <f t="shared" si="6"/>
        <v>0</v>
      </c>
      <c r="T32" s="34">
        <f t="shared" si="7"/>
        <v>722.7726365450916</v>
      </c>
      <c r="U32" s="34">
        <f t="shared" si="8"/>
        <v>9677.22736345491</v>
      </c>
      <c r="V32" s="34">
        <f t="shared" si="9"/>
        <v>0</v>
      </c>
      <c r="W32" s="34">
        <f t="shared" si="10"/>
        <v>0</v>
      </c>
      <c r="X32" s="34">
        <f t="shared" si="11"/>
        <v>0</v>
      </c>
      <c r="Y32" s="26"/>
      <c r="Z32" s="17">
        <f t="shared" si="12"/>
        <v>0</v>
      </c>
      <c r="AA32" s="17">
        <f t="shared" si="13"/>
        <v>0</v>
      </c>
      <c r="AB32" s="17">
        <f t="shared" si="14"/>
        <v>10400</v>
      </c>
      <c r="AD32" s="34">
        <v>21</v>
      </c>
      <c r="AE32" s="34">
        <f>G32*0.0694973688985665</f>
        <v>6.94973688985665</v>
      </c>
      <c r="AF32" s="34">
        <f>G32*(1-0.0694973688985665)</f>
        <v>93.05026311014335</v>
      </c>
      <c r="AG32" s="29" t="s">
        <v>13</v>
      </c>
      <c r="AM32" s="34">
        <f t="shared" si="15"/>
        <v>722.7726365450916</v>
      </c>
      <c r="AN32" s="34">
        <f t="shared" si="16"/>
        <v>9677.227363454907</v>
      </c>
      <c r="AO32" s="35" t="s">
        <v>285</v>
      </c>
      <c r="AP32" s="35" t="s">
        <v>298</v>
      </c>
      <c r="AQ32" s="26" t="s">
        <v>300</v>
      </c>
      <c r="AS32" s="34">
        <f t="shared" si="17"/>
        <v>10399.999999999998</v>
      </c>
      <c r="AT32" s="34">
        <f t="shared" si="18"/>
        <v>100</v>
      </c>
      <c r="AU32" s="34">
        <v>0</v>
      </c>
      <c r="AV32" s="34">
        <f t="shared" si="19"/>
        <v>2.40864</v>
      </c>
    </row>
    <row r="33" spans="1:48" ht="12.75">
      <c r="A33" s="4" t="s">
        <v>23</v>
      </c>
      <c r="B33" s="4"/>
      <c r="C33" s="4" t="s">
        <v>99</v>
      </c>
      <c r="D33" s="4" t="s">
        <v>185</v>
      </c>
      <c r="E33" s="4" t="s">
        <v>249</v>
      </c>
      <c r="F33" s="17">
        <v>66</v>
      </c>
      <c r="G33" s="17">
        <v>200</v>
      </c>
      <c r="H33" s="17">
        <f t="shared" si="0"/>
        <v>820.8475401850944</v>
      </c>
      <c r="I33" s="17">
        <f t="shared" si="1"/>
        <v>12379.152459814906</v>
      </c>
      <c r="J33" s="17">
        <f t="shared" si="2"/>
        <v>13200</v>
      </c>
      <c r="K33" s="17">
        <v>0.03016</v>
      </c>
      <c r="L33" s="17">
        <f t="shared" si="3"/>
        <v>1.9905599999999999</v>
      </c>
      <c r="M33" s="29" t="s">
        <v>271</v>
      </c>
      <c r="P33" s="34">
        <f t="shared" si="4"/>
        <v>0</v>
      </c>
      <c r="R33" s="34">
        <f t="shared" si="5"/>
        <v>0</v>
      </c>
      <c r="S33" s="34">
        <f t="shared" si="6"/>
        <v>0</v>
      </c>
      <c r="T33" s="34">
        <f t="shared" si="7"/>
        <v>820.8475401850944</v>
      </c>
      <c r="U33" s="34">
        <f t="shared" si="8"/>
        <v>12379.152459814906</v>
      </c>
      <c r="V33" s="34">
        <f t="shared" si="9"/>
        <v>0</v>
      </c>
      <c r="W33" s="34">
        <f t="shared" si="10"/>
        <v>0</v>
      </c>
      <c r="X33" s="34">
        <f t="shared" si="11"/>
        <v>0</v>
      </c>
      <c r="Y33" s="26"/>
      <c r="Z33" s="17">
        <f t="shared" si="12"/>
        <v>0</v>
      </c>
      <c r="AA33" s="17">
        <f t="shared" si="13"/>
        <v>0</v>
      </c>
      <c r="AB33" s="17">
        <f t="shared" si="14"/>
        <v>13200</v>
      </c>
      <c r="AD33" s="34">
        <v>21</v>
      </c>
      <c r="AE33" s="34">
        <f>G33*0.062185419710992</f>
        <v>12.4370839421984</v>
      </c>
      <c r="AF33" s="34">
        <f>G33*(1-0.062185419710992)</f>
        <v>187.5629160578016</v>
      </c>
      <c r="AG33" s="29" t="s">
        <v>13</v>
      </c>
      <c r="AM33" s="34">
        <f t="shared" si="15"/>
        <v>820.8475401850944</v>
      </c>
      <c r="AN33" s="34">
        <f t="shared" si="16"/>
        <v>12379.152459814906</v>
      </c>
      <c r="AO33" s="35" t="s">
        <v>285</v>
      </c>
      <c r="AP33" s="35" t="s">
        <v>298</v>
      </c>
      <c r="AQ33" s="26" t="s">
        <v>300</v>
      </c>
      <c r="AS33" s="34">
        <f t="shared" si="17"/>
        <v>13200</v>
      </c>
      <c r="AT33" s="34">
        <f t="shared" si="18"/>
        <v>200</v>
      </c>
      <c r="AU33" s="34">
        <v>0</v>
      </c>
      <c r="AV33" s="34">
        <f t="shared" si="19"/>
        <v>1.9905599999999999</v>
      </c>
    </row>
    <row r="34" spans="1:48" ht="12.75">
      <c r="A34" s="4" t="s">
        <v>24</v>
      </c>
      <c r="B34" s="4"/>
      <c r="C34" s="4" t="s">
        <v>100</v>
      </c>
      <c r="D34" s="4" t="s">
        <v>186</v>
      </c>
      <c r="E34" s="4" t="s">
        <v>249</v>
      </c>
      <c r="F34" s="17">
        <v>985</v>
      </c>
      <c r="G34" s="17">
        <v>0</v>
      </c>
      <c r="H34" s="17">
        <f t="shared" si="0"/>
        <v>0</v>
      </c>
      <c r="I34" s="17">
        <f t="shared" si="1"/>
        <v>0</v>
      </c>
      <c r="J34" s="17">
        <f t="shared" si="2"/>
        <v>0</v>
      </c>
      <c r="K34" s="17">
        <v>0.00255</v>
      </c>
      <c r="L34" s="17">
        <f t="shared" si="3"/>
        <v>2.51175</v>
      </c>
      <c r="M34" s="29" t="s">
        <v>271</v>
      </c>
      <c r="P34" s="34">
        <f t="shared" si="4"/>
        <v>0</v>
      </c>
      <c r="R34" s="34">
        <f t="shared" si="5"/>
        <v>0</v>
      </c>
      <c r="S34" s="34">
        <f t="shared" si="6"/>
        <v>0</v>
      </c>
      <c r="T34" s="34">
        <f t="shared" si="7"/>
        <v>0</v>
      </c>
      <c r="U34" s="34">
        <f t="shared" si="8"/>
        <v>0</v>
      </c>
      <c r="V34" s="34">
        <f t="shared" si="9"/>
        <v>0</v>
      </c>
      <c r="W34" s="34">
        <f t="shared" si="10"/>
        <v>0</v>
      </c>
      <c r="X34" s="34">
        <f t="shared" si="11"/>
        <v>0</v>
      </c>
      <c r="Y34" s="26"/>
      <c r="Z34" s="17">
        <f t="shared" si="12"/>
        <v>0</v>
      </c>
      <c r="AA34" s="17">
        <f t="shared" si="13"/>
        <v>0</v>
      </c>
      <c r="AB34" s="17">
        <f t="shared" si="14"/>
        <v>0</v>
      </c>
      <c r="AD34" s="34">
        <v>21</v>
      </c>
      <c r="AE34" s="34">
        <f>G34*0.0271314741035857</f>
        <v>0</v>
      </c>
      <c r="AF34" s="34">
        <f>G34*(1-0.0271314741035857)</f>
        <v>0</v>
      </c>
      <c r="AG34" s="29" t="s">
        <v>13</v>
      </c>
      <c r="AM34" s="34">
        <f t="shared" si="15"/>
        <v>0</v>
      </c>
      <c r="AN34" s="34">
        <f t="shared" si="16"/>
        <v>0</v>
      </c>
      <c r="AO34" s="35" t="s">
        <v>285</v>
      </c>
      <c r="AP34" s="35" t="s">
        <v>298</v>
      </c>
      <c r="AQ34" s="26" t="s">
        <v>300</v>
      </c>
      <c r="AS34" s="34">
        <f t="shared" si="17"/>
        <v>0</v>
      </c>
      <c r="AT34" s="34">
        <f t="shared" si="18"/>
        <v>0</v>
      </c>
      <c r="AU34" s="34">
        <v>0</v>
      </c>
      <c r="AV34" s="34">
        <f t="shared" si="19"/>
        <v>2.51175</v>
      </c>
    </row>
    <row r="35" spans="1:48" ht="12.75">
      <c r="A35" s="4" t="s">
        <v>25</v>
      </c>
      <c r="B35" s="4"/>
      <c r="C35" s="4" t="s">
        <v>101</v>
      </c>
      <c r="D35" s="4" t="s">
        <v>187</v>
      </c>
      <c r="E35" s="4" t="s">
        <v>249</v>
      </c>
      <c r="F35" s="17">
        <v>122</v>
      </c>
      <c r="G35" s="17">
        <v>0</v>
      </c>
      <c r="H35" s="17">
        <f t="shared" si="0"/>
        <v>0</v>
      </c>
      <c r="I35" s="17">
        <f t="shared" si="1"/>
        <v>0</v>
      </c>
      <c r="J35" s="17">
        <f t="shared" si="2"/>
        <v>0</v>
      </c>
      <c r="K35" s="17">
        <v>0.00255</v>
      </c>
      <c r="L35" s="17">
        <f t="shared" si="3"/>
        <v>0.31110000000000004</v>
      </c>
      <c r="M35" s="29" t="s">
        <v>271</v>
      </c>
      <c r="P35" s="34">
        <f t="shared" si="4"/>
        <v>0</v>
      </c>
      <c r="R35" s="34">
        <f t="shared" si="5"/>
        <v>0</v>
      </c>
      <c r="S35" s="34">
        <f t="shared" si="6"/>
        <v>0</v>
      </c>
      <c r="T35" s="34">
        <f t="shared" si="7"/>
        <v>0</v>
      </c>
      <c r="U35" s="34">
        <f t="shared" si="8"/>
        <v>0</v>
      </c>
      <c r="V35" s="34">
        <f t="shared" si="9"/>
        <v>0</v>
      </c>
      <c r="W35" s="34">
        <f t="shared" si="10"/>
        <v>0</v>
      </c>
      <c r="X35" s="34">
        <f t="shared" si="11"/>
        <v>0</v>
      </c>
      <c r="Y35" s="26"/>
      <c r="Z35" s="17">
        <f t="shared" si="12"/>
        <v>0</v>
      </c>
      <c r="AA35" s="17">
        <f t="shared" si="13"/>
        <v>0</v>
      </c>
      <c r="AB35" s="17">
        <f t="shared" si="14"/>
        <v>0</v>
      </c>
      <c r="AD35" s="34">
        <v>21</v>
      </c>
      <c r="AE35" s="34">
        <f>G35*0.0197391304347826</f>
        <v>0</v>
      </c>
      <c r="AF35" s="34">
        <f>G35*(1-0.0197391304347826)</f>
        <v>0</v>
      </c>
      <c r="AG35" s="29" t="s">
        <v>13</v>
      </c>
      <c r="AM35" s="34">
        <f t="shared" si="15"/>
        <v>0</v>
      </c>
      <c r="AN35" s="34">
        <f t="shared" si="16"/>
        <v>0</v>
      </c>
      <c r="AO35" s="35" t="s">
        <v>285</v>
      </c>
      <c r="AP35" s="35" t="s">
        <v>298</v>
      </c>
      <c r="AQ35" s="26" t="s">
        <v>300</v>
      </c>
      <c r="AS35" s="34">
        <f t="shared" si="17"/>
        <v>0</v>
      </c>
      <c r="AT35" s="34">
        <f t="shared" si="18"/>
        <v>0</v>
      </c>
      <c r="AU35" s="34">
        <v>0</v>
      </c>
      <c r="AV35" s="34">
        <f t="shared" si="19"/>
        <v>0.31110000000000004</v>
      </c>
    </row>
    <row r="36" spans="1:48" ht="12.75">
      <c r="A36" s="4" t="s">
        <v>26</v>
      </c>
      <c r="B36" s="4"/>
      <c r="C36" s="4" t="s">
        <v>102</v>
      </c>
      <c r="D36" s="4" t="s">
        <v>188</v>
      </c>
      <c r="E36" s="4" t="s">
        <v>249</v>
      </c>
      <c r="F36" s="17">
        <v>229.5</v>
      </c>
      <c r="G36" s="17">
        <v>0</v>
      </c>
      <c r="H36" s="17">
        <f t="shared" si="0"/>
        <v>0</v>
      </c>
      <c r="I36" s="17">
        <f t="shared" si="1"/>
        <v>0</v>
      </c>
      <c r="J36" s="17">
        <f t="shared" si="2"/>
        <v>0</v>
      </c>
      <c r="K36" s="17">
        <v>0.00255</v>
      </c>
      <c r="L36" s="17">
        <f t="shared" si="3"/>
        <v>0.585225</v>
      </c>
      <c r="M36" s="29" t="s">
        <v>271</v>
      </c>
      <c r="P36" s="34">
        <f t="shared" si="4"/>
        <v>0</v>
      </c>
      <c r="R36" s="34">
        <f t="shared" si="5"/>
        <v>0</v>
      </c>
      <c r="S36" s="34">
        <f t="shared" si="6"/>
        <v>0</v>
      </c>
      <c r="T36" s="34">
        <f t="shared" si="7"/>
        <v>0</v>
      </c>
      <c r="U36" s="34">
        <f t="shared" si="8"/>
        <v>0</v>
      </c>
      <c r="V36" s="34">
        <f t="shared" si="9"/>
        <v>0</v>
      </c>
      <c r="W36" s="34">
        <f t="shared" si="10"/>
        <v>0</v>
      </c>
      <c r="X36" s="34">
        <f t="shared" si="11"/>
        <v>0</v>
      </c>
      <c r="Y36" s="26"/>
      <c r="Z36" s="17">
        <f t="shared" si="12"/>
        <v>0</v>
      </c>
      <c r="AA36" s="17">
        <f t="shared" si="13"/>
        <v>0</v>
      </c>
      <c r="AB36" s="17">
        <f t="shared" si="14"/>
        <v>0</v>
      </c>
      <c r="AD36" s="34">
        <v>21</v>
      </c>
      <c r="AE36" s="34">
        <f>G36*0.0239375724981546</f>
        <v>0</v>
      </c>
      <c r="AF36" s="34">
        <f>G36*(1-0.0239375724981546)</f>
        <v>0</v>
      </c>
      <c r="AG36" s="29" t="s">
        <v>13</v>
      </c>
      <c r="AM36" s="34">
        <f t="shared" si="15"/>
        <v>0</v>
      </c>
      <c r="AN36" s="34">
        <f t="shared" si="16"/>
        <v>0</v>
      </c>
      <c r="AO36" s="35" t="s">
        <v>285</v>
      </c>
      <c r="AP36" s="35" t="s">
        <v>298</v>
      </c>
      <c r="AQ36" s="26" t="s">
        <v>300</v>
      </c>
      <c r="AS36" s="34">
        <f t="shared" si="17"/>
        <v>0</v>
      </c>
      <c r="AT36" s="34">
        <f t="shared" si="18"/>
        <v>0</v>
      </c>
      <c r="AU36" s="34">
        <v>0</v>
      </c>
      <c r="AV36" s="34">
        <f t="shared" si="19"/>
        <v>0.585225</v>
      </c>
    </row>
    <row r="37" spans="1:48" ht="12.75">
      <c r="A37" s="4" t="s">
        <v>27</v>
      </c>
      <c r="B37" s="4"/>
      <c r="C37" s="4" t="s">
        <v>103</v>
      </c>
      <c r="D37" s="4" t="s">
        <v>189</v>
      </c>
      <c r="E37" s="4" t="s">
        <v>249</v>
      </c>
      <c r="F37" s="17">
        <v>73.5</v>
      </c>
      <c r="G37" s="17">
        <v>0</v>
      </c>
      <c r="H37" s="17">
        <f t="shared" si="0"/>
        <v>0</v>
      </c>
      <c r="I37" s="17">
        <f t="shared" si="1"/>
        <v>0</v>
      </c>
      <c r="J37" s="17">
        <f t="shared" si="2"/>
        <v>0</v>
      </c>
      <c r="K37" s="17">
        <v>0.00255</v>
      </c>
      <c r="L37" s="17">
        <f t="shared" si="3"/>
        <v>0.187425</v>
      </c>
      <c r="M37" s="29" t="s">
        <v>271</v>
      </c>
      <c r="P37" s="34">
        <f t="shared" si="4"/>
        <v>0</v>
      </c>
      <c r="R37" s="34">
        <f t="shared" si="5"/>
        <v>0</v>
      </c>
      <c r="S37" s="34">
        <f t="shared" si="6"/>
        <v>0</v>
      </c>
      <c r="T37" s="34">
        <f t="shared" si="7"/>
        <v>0</v>
      </c>
      <c r="U37" s="34">
        <f t="shared" si="8"/>
        <v>0</v>
      </c>
      <c r="V37" s="34">
        <f t="shared" si="9"/>
        <v>0</v>
      </c>
      <c r="W37" s="34">
        <f t="shared" si="10"/>
        <v>0</v>
      </c>
      <c r="X37" s="34">
        <f t="shared" si="11"/>
        <v>0</v>
      </c>
      <c r="Y37" s="26"/>
      <c r="Z37" s="17">
        <f t="shared" si="12"/>
        <v>0</v>
      </c>
      <c r="AA37" s="17">
        <f t="shared" si="13"/>
        <v>0</v>
      </c>
      <c r="AB37" s="17">
        <f t="shared" si="14"/>
        <v>0</v>
      </c>
      <c r="AD37" s="34">
        <v>21</v>
      </c>
      <c r="AE37" s="34">
        <f>G37*0.0173503184713376</f>
        <v>0</v>
      </c>
      <c r="AF37" s="34">
        <f>G37*(1-0.0173503184713376)</f>
        <v>0</v>
      </c>
      <c r="AG37" s="29" t="s">
        <v>13</v>
      </c>
      <c r="AM37" s="34">
        <f t="shared" si="15"/>
        <v>0</v>
      </c>
      <c r="AN37" s="34">
        <f t="shared" si="16"/>
        <v>0</v>
      </c>
      <c r="AO37" s="35" t="s">
        <v>285</v>
      </c>
      <c r="AP37" s="35" t="s">
        <v>298</v>
      </c>
      <c r="AQ37" s="26" t="s">
        <v>300</v>
      </c>
      <c r="AS37" s="34">
        <f t="shared" si="17"/>
        <v>0</v>
      </c>
      <c r="AT37" s="34">
        <f t="shared" si="18"/>
        <v>0</v>
      </c>
      <c r="AU37" s="34">
        <v>0</v>
      </c>
      <c r="AV37" s="34">
        <f t="shared" si="19"/>
        <v>0.187425</v>
      </c>
    </row>
    <row r="38" spans="1:48" ht="12.75">
      <c r="A38" s="4" t="s">
        <v>28</v>
      </c>
      <c r="B38" s="4"/>
      <c r="C38" s="4" t="s">
        <v>104</v>
      </c>
      <c r="D38" s="4" t="s">
        <v>190</v>
      </c>
      <c r="E38" s="4" t="s">
        <v>250</v>
      </c>
      <c r="F38" s="17">
        <v>35.33165</v>
      </c>
      <c r="G38" s="17">
        <v>0</v>
      </c>
      <c r="H38" s="17">
        <f t="shared" si="0"/>
        <v>0</v>
      </c>
      <c r="I38" s="17">
        <f t="shared" si="1"/>
        <v>0</v>
      </c>
      <c r="J38" s="17">
        <f t="shared" si="2"/>
        <v>0</v>
      </c>
      <c r="K38" s="17">
        <v>0.0291</v>
      </c>
      <c r="L38" s="17">
        <f t="shared" si="3"/>
        <v>1.0281510150000002</v>
      </c>
      <c r="M38" s="29" t="s">
        <v>271</v>
      </c>
      <c r="P38" s="34">
        <f t="shared" si="4"/>
        <v>0</v>
      </c>
      <c r="R38" s="34">
        <f t="shared" si="5"/>
        <v>0</v>
      </c>
      <c r="S38" s="34">
        <f t="shared" si="6"/>
        <v>0</v>
      </c>
      <c r="T38" s="34">
        <f t="shared" si="7"/>
        <v>0</v>
      </c>
      <c r="U38" s="34">
        <f t="shared" si="8"/>
        <v>0</v>
      </c>
      <c r="V38" s="34">
        <f t="shared" si="9"/>
        <v>0</v>
      </c>
      <c r="W38" s="34">
        <f t="shared" si="10"/>
        <v>0</v>
      </c>
      <c r="X38" s="34">
        <f t="shared" si="11"/>
        <v>0</v>
      </c>
      <c r="Y38" s="26"/>
      <c r="Z38" s="17">
        <f t="shared" si="12"/>
        <v>0</v>
      </c>
      <c r="AA38" s="17">
        <f t="shared" si="13"/>
        <v>0</v>
      </c>
      <c r="AB38" s="17">
        <f t="shared" si="14"/>
        <v>0</v>
      </c>
      <c r="AD38" s="34">
        <v>21</v>
      </c>
      <c r="AE38" s="34">
        <f aca="true" t="shared" si="20" ref="AE38:AE43">G38*1</f>
        <v>0</v>
      </c>
      <c r="AF38" s="34">
        <f aca="true" t="shared" si="21" ref="AF38:AF43">G38*(1-1)</f>
        <v>0</v>
      </c>
      <c r="AG38" s="29" t="s">
        <v>13</v>
      </c>
      <c r="AM38" s="34">
        <f t="shared" si="15"/>
        <v>0</v>
      </c>
      <c r="AN38" s="34">
        <f t="shared" si="16"/>
        <v>0</v>
      </c>
      <c r="AO38" s="35" t="s">
        <v>285</v>
      </c>
      <c r="AP38" s="35" t="s">
        <v>298</v>
      </c>
      <c r="AQ38" s="26" t="s">
        <v>300</v>
      </c>
      <c r="AS38" s="34">
        <f t="shared" si="17"/>
        <v>0</v>
      </c>
      <c r="AT38" s="34">
        <f t="shared" si="18"/>
        <v>0</v>
      </c>
      <c r="AU38" s="34">
        <v>0</v>
      </c>
      <c r="AV38" s="34">
        <f t="shared" si="19"/>
        <v>1.0281510150000002</v>
      </c>
    </row>
    <row r="39" spans="1:48" ht="12.75">
      <c r="A39" s="6" t="s">
        <v>29</v>
      </c>
      <c r="B39" s="6"/>
      <c r="C39" s="6" t="s">
        <v>105</v>
      </c>
      <c r="D39" s="6" t="s">
        <v>191</v>
      </c>
      <c r="E39" s="6" t="s">
        <v>250</v>
      </c>
      <c r="F39" s="18">
        <v>13.86547</v>
      </c>
      <c r="G39" s="18">
        <v>0</v>
      </c>
      <c r="H39" s="18">
        <f t="shared" si="0"/>
        <v>0</v>
      </c>
      <c r="I39" s="18">
        <f t="shared" si="1"/>
        <v>0</v>
      </c>
      <c r="J39" s="18">
        <f t="shared" si="2"/>
        <v>0</v>
      </c>
      <c r="K39" s="18">
        <v>0.55</v>
      </c>
      <c r="L39" s="18">
        <f t="shared" si="3"/>
        <v>7.626008500000001</v>
      </c>
      <c r="M39" s="30" t="s">
        <v>271</v>
      </c>
      <c r="P39" s="34">
        <f t="shared" si="4"/>
        <v>0</v>
      </c>
      <c r="R39" s="34">
        <f t="shared" si="5"/>
        <v>0</v>
      </c>
      <c r="S39" s="34">
        <f t="shared" si="6"/>
        <v>0</v>
      </c>
      <c r="T39" s="34">
        <f t="shared" si="7"/>
        <v>0</v>
      </c>
      <c r="U39" s="34">
        <f t="shared" si="8"/>
        <v>0</v>
      </c>
      <c r="V39" s="34">
        <f t="shared" si="9"/>
        <v>0</v>
      </c>
      <c r="W39" s="34">
        <f t="shared" si="10"/>
        <v>0</v>
      </c>
      <c r="X39" s="34">
        <f t="shared" si="11"/>
        <v>0</v>
      </c>
      <c r="Y39" s="26"/>
      <c r="Z39" s="18">
        <f t="shared" si="12"/>
        <v>0</v>
      </c>
      <c r="AA39" s="18">
        <f t="shared" si="13"/>
        <v>0</v>
      </c>
      <c r="AB39" s="18">
        <f t="shared" si="14"/>
        <v>0</v>
      </c>
      <c r="AD39" s="34">
        <v>21</v>
      </c>
      <c r="AE39" s="34">
        <f t="shared" si="20"/>
        <v>0</v>
      </c>
      <c r="AF39" s="34">
        <f t="shared" si="21"/>
        <v>0</v>
      </c>
      <c r="AG39" s="30" t="s">
        <v>13</v>
      </c>
      <c r="AM39" s="34">
        <f t="shared" si="15"/>
        <v>0</v>
      </c>
      <c r="AN39" s="34">
        <f t="shared" si="16"/>
        <v>0</v>
      </c>
      <c r="AO39" s="35" t="s">
        <v>285</v>
      </c>
      <c r="AP39" s="35" t="s">
        <v>298</v>
      </c>
      <c r="AQ39" s="26" t="s">
        <v>300</v>
      </c>
      <c r="AS39" s="34">
        <f t="shared" si="17"/>
        <v>0</v>
      </c>
      <c r="AT39" s="34">
        <f t="shared" si="18"/>
        <v>0</v>
      </c>
      <c r="AU39" s="34">
        <v>0</v>
      </c>
      <c r="AV39" s="34">
        <f t="shared" si="19"/>
        <v>7.626008500000001</v>
      </c>
    </row>
    <row r="40" spans="1:48" ht="12.75">
      <c r="A40" s="6" t="s">
        <v>30</v>
      </c>
      <c r="B40" s="6"/>
      <c r="C40" s="6" t="s">
        <v>106</v>
      </c>
      <c r="D40" s="6" t="s">
        <v>192</v>
      </c>
      <c r="E40" s="6" t="s">
        <v>250</v>
      </c>
      <c r="F40" s="18">
        <v>1.99066</v>
      </c>
      <c r="G40" s="18">
        <v>0</v>
      </c>
      <c r="H40" s="18">
        <f t="shared" si="0"/>
        <v>0</v>
      </c>
      <c r="I40" s="18">
        <f t="shared" si="1"/>
        <v>0</v>
      </c>
      <c r="J40" s="18">
        <f t="shared" si="2"/>
        <v>0</v>
      </c>
      <c r="K40" s="18">
        <v>0.55</v>
      </c>
      <c r="L40" s="18">
        <f t="shared" si="3"/>
        <v>1.0948630000000001</v>
      </c>
      <c r="M40" s="30" t="s">
        <v>271</v>
      </c>
      <c r="P40" s="34">
        <f t="shared" si="4"/>
        <v>0</v>
      </c>
      <c r="R40" s="34">
        <f t="shared" si="5"/>
        <v>0</v>
      </c>
      <c r="S40" s="34">
        <f t="shared" si="6"/>
        <v>0</v>
      </c>
      <c r="T40" s="34">
        <f t="shared" si="7"/>
        <v>0</v>
      </c>
      <c r="U40" s="34">
        <f t="shared" si="8"/>
        <v>0</v>
      </c>
      <c r="V40" s="34">
        <f t="shared" si="9"/>
        <v>0</v>
      </c>
      <c r="W40" s="34">
        <f t="shared" si="10"/>
        <v>0</v>
      </c>
      <c r="X40" s="34">
        <f t="shared" si="11"/>
        <v>0</v>
      </c>
      <c r="Y40" s="26"/>
      <c r="Z40" s="18">
        <f t="shared" si="12"/>
        <v>0</v>
      </c>
      <c r="AA40" s="18">
        <f t="shared" si="13"/>
        <v>0</v>
      </c>
      <c r="AB40" s="18">
        <f t="shared" si="14"/>
        <v>0</v>
      </c>
      <c r="AD40" s="34">
        <v>21</v>
      </c>
      <c r="AE40" s="34">
        <f t="shared" si="20"/>
        <v>0</v>
      </c>
      <c r="AF40" s="34">
        <f t="shared" si="21"/>
        <v>0</v>
      </c>
      <c r="AG40" s="30" t="s">
        <v>13</v>
      </c>
      <c r="AM40" s="34">
        <f t="shared" si="15"/>
        <v>0</v>
      </c>
      <c r="AN40" s="34">
        <f t="shared" si="16"/>
        <v>0</v>
      </c>
      <c r="AO40" s="35" t="s">
        <v>285</v>
      </c>
      <c r="AP40" s="35" t="s">
        <v>298</v>
      </c>
      <c r="AQ40" s="26" t="s">
        <v>300</v>
      </c>
      <c r="AS40" s="34">
        <f t="shared" si="17"/>
        <v>0</v>
      </c>
      <c r="AT40" s="34">
        <f t="shared" si="18"/>
        <v>0</v>
      </c>
      <c r="AU40" s="34">
        <v>0</v>
      </c>
      <c r="AV40" s="34">
        <f t="shared" si="19"/>
        <v>1.0948630000000001</v>
      </c>
    </row>
    <row r="41" spans="1:48" ht="12.75">
      <c r="A41" s="6" t="s">
        <v>31</v>
      </c>
      <c r="B41" s="6"/>
      <c r="C41" s="6" t="s">
        <v>107</v>
      </c>
      <c r="D41" s="6" t="s">
        <v>193</v>
      </c>
      <c r="E41" s="6" t="s">
        <v>250</v>
      </c>
      <c r="F41" s="18">
        <v>5.23908</v>
      </c>
      <c r="G41" s="18">
        <v>0</v>
      </c>
      <c r="H41" s="18">
        <f t="shared" si="0"/>
        <v>0</v>
      </c>
      <c r="I41" s="18">
        <f t="shared" si="1"/>
        <v>0</v>
      </c>
      <c r="J41" s="18">
        <f t="shared" si="2"/>
        <v>0</v>
      </c>
      <c r="K41" s="18">
        <v>0.55</v>
      </c>
      <c r="L41" s="18">
        <f t="shared" si="3"/>
        <v>2.8814940000000004</v>
      </c>
      <c r="M41" s="30" t="s">
        <v>271</v>
      </c>
      <c r="P41" s="34">
        <f t="shared" si="4"/>
        <v>0</v>
      </c>
      <c r="R41" s="34">
        <f t="shared" si="5"/>
        <v>0</v>
      </c>
      <c r="S41" s="34">
        <f t="shared" si="6"/>
        <v>0</v>
      </c>
      <c r="T41" s="34">
        <f t="shared" si="7"/>
        <v>0</v>
      </c>
      <c r="U41" s="34">
        <f t="shared" si="8"/>
        <v>0</v>
      </c>
      <c r="V41" s="34">
        <f t="shared" si="9"/>
        <v>0</v>
      </c>
      <c r="W41" s="34">
        <f t="shared" si="10"/>
        <v>0</v>
      </c>
      <c r="X41" s="34">
        <f t="shared" si="11"/>
        <v>0</v>
      </c>
      <c r="Y41" s="26"/>
      <c r="Z41" s="18">
        <f t="shared" si="12"/>
        <v>0</v>
      </c>
      <c r="AA41" s="18">
        <f t="shared" si="13"/>
        <v>0</v>
      </c>
      <c r="AB41" s="18">
        <f t="shared" si="14"/>
        <v>0</v>
      </c>
      <c r="AD41" s="34">
        <v>21</v>
      </c>
      <c r="AE41" s="34">
        <f t="shared" si="20"/>
        <v>0</v>
      </c>
      <c r="AF41" s="34">
        <f t="shared" si="21"/>
        <v>0</v>
      </c>
      <c r="AG41" s="30" t="s">
        <v>13</v>
      </c>
      <c r="AM41" s="34">
        <f t="shared" si="15"/>
        <v>0</v>
      </c>
      <c r="AN41" s="34">
        <f t="shared" si="16"/>
        <v>0</v>
      </c>
      <c r="AO41" s="35" t="s">
        <v>285</v>
      </c>
      <c r="AP41" s="35" t="s">
        <v>298</v>
      </c>
      <c r="AQ41" s="26" t="s">
        <v>300</v>
      </c>
      <c r="AS41" s="34">
        <f t="shared" si="17"/>
        <v>0</v>
      </c>
      <c r="AT41" s="34">
        <f t="shared" si="18"/>
        <v>0</v>
      </c>
      <c r="AU41" s="34">
        <v>0</v>
      </c>
      <c r="AV41" s="34">
        <f t="shared" si="19"/>
        <v>2.8814940000000004</v>
      </c>
    </row>
    <row r="42" spans="1:48" ht="12.75">
      <c r="A42" s="6" t="s">
        <v>32</v>
      </c>
      <c r="B42" s="6"/>
      <c r="C42" s="6" t="s">
        <v>108</v>
      </c>
      <c r="D42" s="6" t="s">
        <v>194</v>
      </c>
      <c r="E42" s="6" t="s">
        <v>250</v>
      </c>
      <c r="F42" s="18">
        <v>2.7648</v>
      </c>
      <c r="G42" s="18">
        <v>0</v>
      </c>
      <c r="H42" s="18">
        <f t="shared" si="0"/>
        <v>0</v>
      </c>
      <c r="I42" s="18">
        <f t="shared" si="1"/>
        <v>0</v>
      </c>
      <c r="J42" s="18">
        <f t="shared" si="2"/>
        <v>0</v>
      </c>
      <c r="K42" s="18">
        <v>0.55</v>
      </c>
      <c r="L42" s="18">
        <f t="shared" si="3"/>
        <v>1.5206400000000002</v>
      </c>
      <c r="M42" s="30" t="s">
        <v>271</v>
      </c>
      <c r="P42" s="34">
        <f t="shared" si="4"/>
        <v>0</v>
      </c>
      <c r="R42" s="34">
        <f t="shared" si="5"/>
        <v>0</v>
      </c>
      <c r="S42" s="34">
        <f t="shared" si="6"/>
        <v>0</v>
      </c>
      <c r="T42" s="34">
        <f t="shared" si="7"/>
        <v>0</v>
      </c>
      <c r="U42" s="34">
        <f t="shared" si="8"/>
        <v>0</v>
      </c>
      <c r="V42" s="34">
        <f t="shared" si="9"/>
        <v>0</v>
      </c>
      <c r="W42" s="34">
        <f t="shared" si="10"/>
        <v>0</v>
      </c>
      <c r="X42" s="34">
        <f t="shared" si="11"/>
        <v>0</v>
      </c>
      <c r="Y42" s="26"/>
      <c r="Z42" s="18">
        <f t="shared" si="12"/>
        <v>0</v>
      </c>
      <c r="AA42" s="18">
        <f t="shared" si="13"/>
        <v>0</v>
      </c>
      <c r="AB42" s="18">
        <f t="shared" si="14"/>
        <v>0</v>
      </c>
      <c r="AD42" s="34">
        <v>21</v>
      </c>
      <c r="AE42" s="34">
        <f t="shared" si="20"/>
        <v>0</v>
      </c>
      <c r="AF42" s="34">
        <f t="shared" si="21"/>
        <v>0</v>
      </c>
      <c r="AG42" s="30" t="s">
        <v>13</v>
      </c>
      <c r="AM42" s="34">
        <f t="shared" si="15"/>
        <v>0</v>
      </c>
      <c r="AN42" s="34">
        <f t="shared" si="16"/>
        <v>0</v>
      </c>
      <c r="AO42" s="35" t="s">
        <v>285</v>
      </c>
      <c r="AP42" s="35" t="s">
        <v>298</v>
      </c>
      <c r="AQ42" s="26" t="s">
        <v>300</v>
      </c>
      <c r="AS42" s="34">
        <f t="shared" si="17"/>
        <v>0</v>
      </c>
      <c r="AT42" s="34">
        <f t="shared" si="18"/>
        <v>0</v>
      </c>
      <c r="AU42" s="34">
        <v>0</v>
      </c>
      <c r="AV42" s="34">
        <f t="shared" si="19"/>
        <v>1.5206400000000002</v>
      </c>
    </row>
    <row r="43" spans="1:48" ht="12.75">
      <c r="A43" s="6" t="s">
        <v>33</v>
      </c>
      <c r="B43" s="6"/>
      <c r="C43" s="6" t="s">
        <v>109</v>
      </c>
      <c r="D43" s="6" t="s">
        <v>195</v>
      </c>
      <c r="E43" s="6" t="s">
        <v>250</v>
      </c>
      <c r="F43" s="18">
        <v>6.19164</v>
      </c>
      <c r="G43" s="18">
        <v>0</v>
      </c>
      <c r="H43" s="18">
        <f t="shared" si="0"/>
        <v>0</v>
      </c>
      <c r="I43" s="18">
        <f t="shared" si="1"/>
        <v>0</v>
      </c>
      <c r="J43" s="18">
        <f t="shared" si="2"/>
        <v>0</v>
      </c>
      <c r="K43" s="18">
        <v>0.55</v>
      </c>
      <c r="L43" s="18">
        <f t="shared" si="3"/>
        <v>3.405402</v>
      </c>
      <c r="M43" s="30" t="s">
        <v>271</v>
      </c>
      <c r="P43" s="34">
        <f t="shared" si="4"/>
        <v>0</v>
      </c>
      <c r="R43" s="34">
        <f t="shared" si="5"/>
        <v>0</v>
      </c>
      <c r="S43" s="34">
        <f t="shared" si="6"/>
        <v>0</v>
      </c>
      <c r="T43" s="34">
        <f t="shared" si="7"/>
        <v>0</v>
      </c>
      <c r="U43" s="34">
        <f t="shared" si="8"/>
        <v>0</v>
      </c>
      <c r="V43" s="34">
        <f t="shared" si="9"/>
        <v>0</v>
      </c>
      <c r="W43" s="34">
        <f t="shared" si="10"/>
        <v>0</v>
      </c>
      <c r="X43" s="34">
        <f t="shared" si="11"/>
        <v>0</v>
      </c>
      <c r="Y43" s="26"/>
      <c r="Z43" s="18">
        <f t="shared" si="12"/>
        <v>0</v>
      </c>
      <c r="AA43" s="18">
        <f t="shared" si="13"/>
        <v>0</v>
      </c>
      <c r="AB43" s="18">
        <f t="shared" si="14"/>
        <v>0</v>
      </c>
      <c r="AD43" s="34">
        <v>21</v>
      </c>
      <c r="AE43" s="34">
        <f t="shared" si="20"/>
        <v>0</v>
      </c>
      <c r="AF43" s="34">
        <f t="shared" si="21"/>
        <v>0</v>
      </c>
      <c r="AG43" s="30" t="s">
        <v>13</v>
      </c>
      <c r="AM43" s="34">
        <f t="shared" si="15"/>
        <v>0</v>
      </c>
      <c r="AN43" s="34">
        <f t="shared" si="16"/>
        <v>0</v>
      </c>
      <c r="AO43" s="35" t="s">
        <v>285</v>
      </c>
      <c r="AP43" s="35" t="s">
        <v>298</v>
      </c>
      <c r="AQ43" s="26" t="s">
        <v>300</v>
      </c>
      <c r="AS43" s="34">
        <f t="shared" si="17"/>
        <v>0</v>
      </c>
      <c r="AT43" s="34">
        <f t="shared" si="18"/>
        <v>0</v>
      </c>
      <c r="AU43" s="34">
        <v>0</v>
      </c>
      <c r="AV43" s="34">
        <f t="shared" si="19"/>
        <v>3.405402</v>
      </c>
    </row>
    <row r="44" spans="1:48" ht="12.75">
      <c r="A44" s="4" t="s">
        <v>34</v>
      </c>
      <c r="B44" s="4"/>
      <c r="C44" s="4" t="s">
        <v>110</v>
      </c>
      <c r="D44" s="4" t="s">
        <v>364</v>
      </c>
      <c r="E44" s="4" t="s">
        <v>365</v>
      </c>
      <c r="F44" s="17">
        <v>1</v>
      </c>
      <c r="G44" s="17">
        <v>350000</v>
      </c>
      <c r="H44" s="17">
        <f t="shared" si="0"/>
        <v>346401.8036072146</v>
      </c>
      <c r="I44" s="17">
        <f t="shared" si="1"/>
        <v>3598.1963927854085</v>
      </c>
      <c r="J44" s="17">
        <f t="shared" si="2"/>
        <v>350000</v>
      </c>
      <c r="K44" s="17">
        <v>0.0165</v>
      </c>
      <c r="L44" s="17">
        <f t="shared" si="3"/>
        <v>0.0165</v>
      </c>
      <c r="M44" s="29" t="s">
        <v>271</v>
      </c>
      <c r="P44" s="34">
        <f t="shared" si="4"/>
        <v>0</v>
      </c>
      <c r="R44" s="34">
        <f t="shared" si="5"/>
        <v>0</v>
      </c>
      <c r="S44" s="34">
        <f t="shared" si="6"/>
        <v>0</v>
      </c>
      <c r="T44" s="34">
        <f t="shared" si="7"/>
        <v>346401.8036072146</v>
      </c>
      <c r="U44" s="34">
        <f t="shared" si="8"/>
        <v>3598.1963927854085</v>
      </c>
      <c r="V44" s="34">
        <f t="shared" si="9"/>
        <v>0</v>
      </c>
      <c r="W44" s="34">
        <f t="shared" si="10"/>
        <v>0</v>
      </c>
      <c r="X44" s="34">
        <f t="shared" si="11"/>
        <v>0</v>
      </c>
      <c r="Y44" s="26"/>
      <c r="Z44" s="17">
        <f t="shared" si="12"/>
        <v>0</v>
      </c>
      <c r="AA44" s="17">
        <f t="shared" si="13"/>
        <v>0</v>
      </c>
      <c r="AB44" s="17">
        <f t="shared" si="14"/>
        <v>350000</v>
      </c>
      <c r="AD44" s="34">
        <v>21</v>
      </c>
      <c r="AE44" s="34">
        <f>G44*0.989719438877756</f>
        <v>346401.8036072146</v>
      </c>
      <c r="AF44" s="34">
        <f>G44*(1-0.989719438877756)</f>
        <v>3598.1963927853853</v>
      </c>
      <c r="AG44" s="29" t="s">
        <v>13</v>
      </c>
      <c r="AM44" s="34">
        <f t="shared" si="15"/>
        <v>346401.8036072146</v>
      </c>
      <c r="AN44" s="34">
        <f t="shared" si="16"/>
        <v>3598.1963927853853</v>
      </c>
      <c r="AO44" s="35" t="s">
        <v>285</v>
      </c>
      <c r="AP44" s="35" t="s">
        <v>298</v>
      </c>
      <c r="AQ44" s="26" t="s">
        <v>300</v>
      </c>
      <c r="AS44" s="34">
        <f t="shared" si="17"/>
        <v>350000</v>
      </c>
      <c r="AT44" s="34">
        <f t="shared" si="18"/>
        <v>350000</v>
      </c>
      <c r="AU44" s="34">
        <v>0</v>
      </c>
      <c r="AV44" s="34">
        <f t="shared" si="19"/>
        <v>0.0165</v>
      </c>
    </row>
    <row r="45" spans="1:37" ht="12.75">
      <c r="A45" s="5"/>
      <c r="B45" s="13"/>
      <c r="C45" s="13" t="s">
        <v>111</v>
      </c>
      <c r="D45" s="94" t="s">
        <v>196</v>
      </c>
      <c r="E45" s="95"/>
      <c r="F45" s="95"/>
      <c r="G45" s="95"/>
      <c r="H45" s="37">
        <f>SUM(H46:H49)</f>
        <v>30320.45300896104</v>
      </c>
      <c r="I45" s="37">
        <f>SUM(I46:I49)</f>
        <v>14479.54699103896</v>
      </c>
      <c r="J45" s="37">
        <f>H45+I45</f>
        <v>44800</v>
      </c>
      <c r="K45" s="26"/>
      <c r="L45" s="37">
        <f>SUM(L46:L49)</f>
        <v>0.7956849999999999</v>
      </c>
      <c r="M45" s="26"/>
      <c r="Y45" s="26"/>
      <c r="AI45" s="37">
        <f>SUM(Z46:Z49)</f>
        <v>0</v>
      </c>
      <c r="AJ45" s="37">
        <f>SUM(AA46:AA49)</f>
        <v>0</v>
      </c>
      <c r="AK45" s="37">
        <f>SUM(AB46:AB49)</f>
        <v>44800</v>
      </c>
    </row>
    <row r="46" spans="1:48" ht="12.75">
      <c r="A46" s="4" t="s">
        <v>35</v>
      </c>
      <c r="B46" s="4"/>
      <c r="C46" s="4" t="s">
        <v>112</v>
      </c>
      <c r="D46" s="4" t="s">
        <v>197</v>
      </c>
      <c r="E46" s="4" t="s">
        <v>249</v>
      </c>
      <c r="F46" s="17">
        <v>86</v>
      </c>
      <c r="G46" s="17">
        <v>50</v>
      </c>
      <c r="H46" s="17">
        <f>F46*AE46</f>
        <v>0</v>
      </c>
      <c r="I46" s="17">
        <f>J46-H46</f>
        <v>4300</v>
      </c>
      <c r="J46" s="17">
        <f>F46*G46</f>
        <v>4300</v>
      </c>
      <c r="K46" s="17">
        <v>0.00392</v>
      </c>
      <c r="L46" s="17">
        <f>F46*K46</f>
        <v>0.33712</v>
      </c>
      <c r="M46" s="29" t="s">
        <v>271</v>
      </c>
      <c r="P46" s="34">
        <f>IF(AG46="5",J46,0)</f>
        <v>0</v>
      </c>
      <c r="R46" s="34">
        <f>IF(AG46="1",H46,0)</f>
        <v>0</v>
      </c>
      <c r="S46" s="34">
        <f>IF(AG46="1",I46,0)</f>
        <v>0</v>
      </c>
      <c r="T46" s="34">
        <f>IF(AG46="7",H46,0)</f>
        <v>0</v>
      </c>
      <c r="U46" s="34">
        <f>IF(AG46="7",I46,0)</f>
        <v>4300</v>
      </c>
      <c r="V46" s="34">
        <f>IF(AG46="2",H46,0)</f>
        <v>0</v>
      </c>
      <c r="W46" s="34">
        <f>IF(AG46="2",I46,0)</f>
        <v>0</v>
      </c>
      <c r="X46" s="34">
        <f>IF(AG46="0",J46,0)</f>
        <v>0</v>
      </c>
      <c r="Y46" s="26"/>
      <c r="Z46" s="17">
        <f>IF(AD46=0,J46,0)</f>
        <v>0</v>
      </c>
      <c r="AA46" s="17">
        <f>IF(AD46=15,J46,0)</f>
        <v>0</v>
      </c>
      <c r="AB46" s="17">
        <f>IF(AD46=21,J46,0)</f>
        <v>4300</v>
      </c>
      <c r="AD46" s="34">
        <v>21</v>
      </c>
      <c r="AE46" s="34">
        <f>G46*0</f>
        <v>0</v>
      </c>
      <c r="AF46" s="34">
        <f>G46*(1-0)</f>
        <v>50</v>
      </c>
      <c r="AG46" s="29" t="s">
        <v>13</v>
      </c>
      <c r="AM46" s="34">
        <f>F46*AE46</f>
        <v>0</v>
      </c>
      <c r="AN46" s="34">
        <f>F46*AF46</f>
        <v>4300</v>
      </c>
      <c r="AO46" s="35" t="s">
        <v>286</v>
      </c>
      <c r="AP46" s="35" t="s">
        <v>298</v>
      </c>
      <c r="AQ46" s="26" t="s">
        <v>300</v>
      </c>
      <c r="AS46" s="34">
        <f>AM46+AN46</f>
        <v>4300</v>
      </c>
      <c r="AT46" s="34">
        <f>G46/(100-AU46)*100</f>
        <v>50</v>
      </c>
      <c r="AU46" s="34">
        <v>0</v>
      </c>
      <c r="AV46" s="34">
        <f>L46</f>
        <v>0.33712</v>
      </c>
    </row>
    <row r="47" spans="1:48" ht="12.75">
      <c r="A47" s="4" t="s">
        <v>36</v>
      </c>
      <c r="B47" s="4"/>
      <c r="C47" s="4" t="s">
        <v>113</v>
      </c>
      <c r="D47" s="4" t="s">
        <v>366</v>
      </c>
      <c r="E47" s="4" t="s">
        <v>249</v>
      </c>
      <c r="F47" s="17">
        <v>80</v>
      </c>
      <c r="G47" s="17">
        <v>300</v>
      </c>
      <c r="H47" s="17">
        <f>F47*AE47</f>
        <v>18777.152542372896</v>
      </c>
      <c r="I47" s="17">
        <f>J47-H47</f>
        <v>5222.847457627104</v>
      </c>
      <c r="J47" s="17">
        <f>F47*G47</f>
        <v>24000</v>
      </c>
      <c r="K47" s="17">
        <v>0.00385</v>
      </c>
      <c r="L47" s="17">
        <f>F47*K47</f>
        <v>0.308</v>
      </c>
      <c r="M47" s="29" t="s">
        <v>271</v>
      </c>
      <c r="P47" s="34">
        <f>IF(AG47="5",J47,0)</f>
        <v>0</v>
      </c>
      <c r="R47" s="34">
        <f>IF(AG47="1",H47,0)</f>
        <v>0</v>
      </c>
      <c r="S47" s="34">
        <f>IF(AG47="1",I47,0)</f>
        <v>0</v>
      </c>
      <c r="T47" s="34">
        <f>IF(AG47="7",H47,0)</f>
        <v>18777.152542372896</v>
      </c>
      <c r="U47" s="34">
        <f>IF(AG47="7",I47,0)</f>
        <v>5222.847457627104</v>
      </c>
      <c r="V47" s="34">
        <f>IF(AG47="2",H47,0)</f>
        <v>0</v>
      </c>
      <c r="W47" s="34">
        <f>IF(AG47="2",I47,0)</f>
        <v>0</v>
      </c>
      <c r="X47" s="34">
        <f>IF(AG47="0",J47,0)</f>
        <v>0</v>
      </c>
      <c r="Y47" s="26"/>
      <c r="Z47" s="17">
        <f>IF(AD47=0,J47,0)</f>
        <v>0</v>
      </c>
      <c r="AA47" s="17">
        <f>IF(AD47=15,J47,0)</f>
        <v>0</v>
      </c>
      <c r="AB47" s="17">
        <f>IF(AD47=21,J47,0)</f>
        <v>24000</v>
      </c>
      <c r="AD47" s="34">
        <v>21</v>
      </c>
      <c r="AE47" s="34">
        <f>G47*0.782381355932204</f>
        <v>234.7144067796612</v>
      </c>
      <c r="AF47" s="34">
        <f>G47*(1-0.782381355932204)</f>
        <v>65.28559322033878</v>
      </c>
      <c r="AG47" s="29" t="s">
        <v>13</v>
      </c>
      <c r="AM47" s="34">
        <f>F47*AE47</f>
        <v>18777.152542372896</v>
      </c>
      <c r="AN47" s="34">
        <f>F47*AF47</f>
        <v>5222.847457627103</v>
      </c>
      <c r="AO47" s="35" t="s">
        <v>286</v>
      </c>
      <c r="AP47" s="35" t="s">
        <v>298</v>
      </c>
      <c r="AQ47" s="26" t="s">
        <v>300</v>
      </c>
      <c r="AS47" s="34">
        <f>AM47+AN47</f>
        <v>24000</v>
      </c>
      <c r="AT47" s="34">
        <f>G47/(100-AU47)*100</f>
        <v>300</v>
      </c>
      <c r="AU47" s="34">
        <v>0</v>
      </c>
      <c r="AV47" s="34">
        <f>L47</f>
        <v>0.308</v>
      </c>
    </row>
    <row r="48" spans="1:48" ht="12.75">
      <c r="A48" s="4" t="s">
        <v>37</v>
      </c>
      <c r="B48" s="4"/>
      <c r="C48" s="4" t="s">
        <v>114</v>
      </c>
      <c r="D48" s="4" t="s">
        <v>367</v>
      </c>
      <c r="E48" s="4" t="s">
        <v>249</v>
      </c>
      <c r="F48" s="17">
        <v>40</v>
      </c>
      <c r="G48" s="17">
        <v>300</v>
      </c>
      <c r="H48" s="17">
        <f>F48*AE48</f>
        <v>8766.40949554896</v>
      </c>
      <c r="I48" s="17">
        <f>J48-H48</f>
        <v>3233.59050445104</v>
      </c>
      <c r="J48" s="17">
        <f>F48*G48</f>
        <v>12000</v>
      </c>
      <c r="K48" s="17">
        <v>0.00346</v>
      </c>
      <c r="L48" s="17">
        <f>F48*K48</f>
        <v>0.1384</v>
      </c>
      <c r="M48" s="29" t="s">
        <v>271</v>
      </c>
      <c r="P48" s="34">
        <f>IF(AG48="5",J48,0)</f>
        <v>0</v>
      </c>
      <c r="R48" s="34">
        <f>IF(AG48="1",H48,0)</f>
        <v>0</v>
      </c>
      <c r="S48" s="34">
        <f>IF(AG48="1",I48,0)</f>
        <v>0</v>
      </c>
      <c r="T48" s="34">
        <f>IF(AG48="7",H48,0)</f>
        <v>8766.40949554896</v>
      </c>
      <c r="U48" s="34">
        <f>IF(AG48="7",I48,0)</f>
        <v>3233.59050445104</v>
      </c>
      <c r="V48" s="34">
        <f>IF(AG48="2",H48,0)</f>
        <v>0</v>
      </c>
      <c r="W48" s="34">
        <f>IF(AG48="2",I48,0)</f>
        <v>0</v>
      </c>
      <c r="X48" s="34">
        <f>IF(AG48="0",J48,0)</f>
        <v>0</v>
      </c>
      <c r="Y48" s="26"/>
      <c r="Z48" s="17">
        <f>IF(AD48=0,J48,0)</f>
        <v>0</v>
      </c>
      <c r="AA48" s="17">
        <f>IF(AD48=15,J48,0)</f>
        <v>0</v>
      </c>
      <c r="AB48" s="17">
        <f>IF(AD48=21,J48,0)</f>
        <v>12000</v>
      </c>
      <c r="AD48" s="34">
        <v>21</v>
      </c>
      <c r="AE48" s="34">
        <f>G48*0.73053412462908</f>
        <v>219.160237388724</v>
      </c>
      <c r="AF48" s="34">
        <f>G48*(1-0.73053412462908)</f>
        <v>80.83976261127602</v>
      </c>
      <c r="AG48" s="29" t="s">
        <v>13</v>
      </c>
      <c r="AM48" s="34">
        <f>F48*AE48</f>
        <v>8766.40949554896</v>
      </c>
      <c r="AN48" s="34">
        <f>F48*AF48</f>
        <v>3233.5905044510405</v>
      </c>
      <c r="AO48" s="35" t="s">
        <v>286</v>
      </c>
      <c r="AP48" s="35" t="s">
        <v>298</v>
      </c>
      <c r="AQ48" s="26" t="s">
        <v>300</v>
      </c>
      <c r="AS48" s="34">
        <f>AM48+AN48</f>
        <v>12000</v>
      </c>
      <c r="AT48" s="34">
        <f>G48/(100-AU48)*100</f>
        <v>300</v>
      </c>
      <c r="AU48" s="34">
        <v>0</v>
      </c>
      <c r="AV48" s="34">
        <f>L48</f>
        <v>0.1384</v>
      </c>
    </row>
    <row r="49" spans="1:48" ht="12.75">
      <c r="A49" s="4" t="s">
        <v>38</v>
      </c>
      <c r="B49" s="4"/>
      <c r="C49" s="4" t="s">
        <v>115</v>
      </c>
      <c r="D49" s="4" t="s">
        <v>368</v>
      </c>
      <c r="E49" s="4" t="s">
        <v>248</v>
      </c>
      <c r="F49" s="17">
        <v>1.5</v>
      </c>
      <c r="G49" s="17">
        <v>3000</v>
      </c>
      <c r="H49" s="17">
        <f>F49*AE49</f>
        <v>2776.890971039184</v>
      </c>
      <c r="I49" s="17">
        <f>J49-H49</f>
        <v>1723.109028960816</v>
      </c>
      <c r="J49" s="17">
        <f>F49*G49</f>
        <v>4500</v>
      </c>
      <c r="K49" s="17">
        <v>0.00811</v>
      </c>
      <c r="L49" s="17">
        <f>F49*K49</f>
        <v>0.012164999999999999</v>
      </c>
      <c r="M49" s="29" t="s">
        <v>271</v>
      </c>
      <c r="P49" s="34">
        <f>IF(AG49="5",J49,0)</f>
        <v>0</v>
      </c>
      <c r="R49" s="34">
        <f>IF(AG49="1",H49,0)</f>
        <v>0</v>
      </c>
      <c r="S49" s="34">
        <f>IF(AG49="1",I49,0)</f>
        <v>0</v>
      </c>
      <c r="T49" s="34">
        <f>IF(AG49="7",H49,0)</f>
        <v>2776.890971039184</v>
      </c>
      <c r="U49" s="34">
        <f>IF(AG49="7",I49,0)</f>
        <v>1723.109028960816</v>
      </c>
      <c r="V49" s="34">
        <f>IF(AG49="2",H49,0)</f>
        <v>0</v>
      </c>
      <c r="W49" s="34">
        <f>IF(AG49="2",I49,0)</f>
        <v>0</v>
      </c>
      <c r="X49" s="34">
        <f>IF(AG49="0",J49,0)</f>
        <v>0</v>
      </c>
      <c r="Y49" s="26"/>
      <c r="Z49" s="17">
        <f>IF(AD49=0,J49,0)</f>
        <v>0</v>
      </c>
      <c r="AA49" s="17">
        <f>IF(AD49=15,J49,0)</f>
        <v>0</v>
      </c>
      <c r="AB49" s="17">
        <f>IF(AD49=21,J49,0)</f>
        <v>4500</v>
      </c>
      <c r="AD49" s="34">
        <v>21</v>
      </c>
      <c r="AE49" s="34">
        <f>G49*0.617086882453152</f>
        <v>1851.260647359456</v>
      </c>
      <c r="AF49" s="34">
        <f>G49*(1-0.617086882453152)</f>
        <v>1148.739352640544</v>
      </c>
      <c r="AG49" s="29" t="s">
        <v>13</v>
      </c>
      <c r="AM49" s="34">
        <f>F49*AE49</f>
        <v>2776.890971039184</v>
      </c>
      <c r="AN49" s="34">
        <f>F49*AF49</f>
        <v>1723.109028960816</v>
      </c>
      <c r="AO49" s="35" t="s">
        <v>286</v>
      </c>
      <c r="AP49" s="35" t="s">
        <v>298</v>
      </c>
      <c r="AQ49" s="26" t="s">
        <v>300</v>
      </c>
      <c r="AS49" s="34">
        <f>AM49+AN49</f>
        <v>4500</v>
      </c>
      <c r="AT49" s="34">
        <f>G49/(100-AU49)*100</f>
        <v>3000</v>
      </c>
      <c r="AU49" s="34">
        <v>0</v>
      </c>
      <c r="AV49" s="34">
        <f>L49</f>
        <v>0.012164999999999999</v>
      </c>
    </row>
    <row r="50" spans="1:37" ht="12.75">
      <c r="A50" s="5"/>
      <c r="B50" s="13"/>
      <c r="C50" s="13" t="s">
        <v>116</v>
      </c>
      <c r="D50" s="94" t="s">
        <v>198</v>
      </c>
      <c r="E50" s="95"/>
      <c r="F50" s="95"/>
      <c r="G50" s="95"/>
      <c r="H50" s="37">
        <f>SUM(H51:H66)</f>
        <v>272057.95278270904</v>
      </c>
      <c r="I50" s="37">
        <f>SUM(I51:I66)</f>
        <v>441660.3522172909</v>
      </c>
      <c r="J50" s="37">
        <f>H50+I50</f>
        <v>713718.3049999999</v>
      </c>
      <c r="K50" s="26"/>
      <c r="L50" s="37">
        <f>SUM(L51:L66)</f>
        <v>29.0956135</v>
      </c>
      <c r="M50" s="26"/>
      <c r="Y50" s="26"/>
      <c r="AI50" s="37">
        <f>SUM(Z51:Z66)</f>
        <v>0</v>
      </c>
      <c r="AJ50" s="37">
        <f>SUM(AA51:AA66)</f>
        <v>0</v>
      </c>
      <c r="AK50" s="37">
        <f>SUM(AB51:AB66)</f>
        <v>713718.3049999999</v>
      </c>
    </row>
    <row r="51" spans="1:48" ht="12.75">
      <c r="A51" s="4" t="s">
        <v>39</v>
      </c>
      <c r="B51" s="4"/>
      <c r="C51" s="4" t="s">
        <v>117</v>
      </c>
      <c r="D51" s="4" t="s">
        <v>199</v>
      </c>
      <c r="E51" s="4" t="s">
        <v>248</v>
      </c>
      <c r="F51" s="17">
        <v>374</v>
      </c>
      <c r="G51" s="17">
        <v>120</v>
      </c>
      <c r="H51" s="17">
        <f aca="true" t="shared" si="22" ref="H51:H66">F51*AE51</f>
        <v>0</v>
      </c>
      <c r="I51" s="17">
        <f aca="true" t="shared" si="23" ref="I51:I66">J51-H51</f>
        <v>44880</v>
      </c>
      <c r="J51" s="17">
        <f aca="true" t="shared" si="24" ref="J51:J66">F51*G51</f>
        <v>44880</v>
      </c>
      <c r="K51" s="17">
        <v>0.014</v>
      </c>
      <c r="L51" s="17">
        <f aca="true" t="shared" si="25" ref="L51:L66">F51*K51</f>
        <v>5.236</v>
      </c>
      <c r="M51" s="29" t="s">
        <v>271</v>
      </c>
      <c r="P51" s="34">
        <f aca="true" t="shared" si="26" ref="P51:P66">IF(AG51="5",J51,0)</f>
        <v>0</v>
      </c>
      <c r="R51" s="34">
        <f aca="true" t="shared" si="27" ref="R51:R66">IF(AG51="1",H51,0)</f>
        <v>0</v>
      </c>
      <c r="S51" s="34">
        <f aca="true" t="shared" si="28" ref="S51:S66">IF(AG51="1",I51,0)</f>
        <v>0</v>
      </c>
      <c r="T51" s="34">
        <f aca="true" t="shared" si="29" ref="T51:T66">IF(AG51="7",H51,0)</f>
        <v>0</v>
      </c>
      <c r="U51" s="34">
        <f aca="true" t="shared" si="30" ref="U51:U66">IF(AG51="7",I51,0)</f>
        <v>44880</v>
      </c>
      <c r="V51" s="34">
        <f aca="true" t="shared" si="31" ref="V51:V66">IF(AG51="2",H51,0)</f>
        <v>0</v>
      </c>
      <c r="W51" s="34">
        <f aca="true" t="shared" si="32" ref="W51:W66">IF(AG51="2",I51,0)</f>
        <v>0</v>
      </c>
      <c r="X51" s="34">
        <f aca="true" t="shared" si="33" ref="X51:X66">IF(AG51="0",J51,0)</f>
        <v>0</v>
      </c>
      <c r="Y51" s="26"/>
      <c r="Z51" s="17">
        <f aca="true" t="shared" si="34" ref="Z51:Z66">IF(AD51=0,J51,0)</f>
        <v>0</v>
      </c>
      <c r="AA51" s="17">
        <f aca="true" t="shared" si="35" ref="AA51:AA66">IF(AD51=15,J51,0)</f>
        <v>0</v>
      </c>
      <c r="AB51" s="17">
        <f aca="true" t="shared" si="36" ref="AB51:AB66">IF(AD51=21,J51,0)</f>
        <v>44880</v>
      </c>
      <c r="AD51" s="34">
        <v>21</v>
      </c>
      <c r="AE51" s="34">
        <f>G51*0</f>
        <v>0</v>
      </c>
      <c r="AF51" s="34">
        <f>G51*(1-0)</f>
        <v>120</v>
      </c>
      <c r="AG51" s="29" t="s">
        <v>13</v>
      </c>
      <c r="AM51" s="34">
        <f aca="true" t="shared" si="37" ref="AM51:AM66">F51*AE51</f>
        <v>0</v>
      </c>
      <c r="AN51" s="34">
        <f aca="true" t="shared" si="38" ref="AN51:AN66">F51*AF51</f>
        <v>44880</v>
      </c>
      <c r="AO51" s="35" t="s">
        <v>287</v>
      </c>
      <c r="AP51" s="35" t="s">
        <v>298</v>
      </c>
      <c r="AQ51" s="26" t="s">
        <v>300</v>
      </c>
      <c r="AS51" s="34">
        <f aca="true" t="shared" si="39" ref="AS51:AS66">AM51+AN51</f>
        <v>44880</v>
      </c>
      <c r="AT51" s="34">
        <f aca="true" t="shared" si="40" ref="AT51:AT66">G51/(100-AU51)*100</f>
        <v>120</v>
      </c>
      <c r="AU51" s="34">
        <v>0</v>
      </c>
      <c r="AV51" s="34">
        <f aca="true" t="shared" si="41" ref="AV51:AV66">L51</f>
        <v>5.236</v>
      </c>
    </row>
    <row r="52" spans="1:48" ht="12.75">
      <c r="A52" s="4" t="s">
        <v>40</v>
      </c>
      <c r="B52" s="4"/>
      <c r="C52" s="4" t="s">
        <v>118</v>
      </c>
      <c r="D52" s="4" t="s">
        <v>200</v>
      </c>
      <c r="E52" s="4" t="s">
        <v>248</v>
      </c>
      <c r="F52" s="17">
        <v>479</v>
      </c>
      <c r="G52" s="17">
        <v>120</v>
      </c>
      <c r="H52" s="17">
        <f t="shared" si="22"/>
        <v>0</v>
      </c>
      <c r="I52" s="17">
        <f t="shared" si="23"/>
        <v>57480</v>
      </c>
      <c r="J52" s="17">
        <f t="shared" si="24"/>
        <v>57480</v>
      </c>
      <c r="K52" s="17">
        <v>0</v>
      </c>
      <c r="L52" s="17">
        <f t="shared" si="25"/>
        <v>0</v>
      </c>
      <c r="M52" s="29" t="s">
        <v>271</v>
      </c>
      <c r="P52" s="34">
        <f t="shared" si="26"/>
        <v>0</v>
      </c>
      <c r="R52" s="34">
        <f t="shared" si="27"/>
        <v>0</v>
      </c>
      <c r="S52" s="34">
        <f t="shared" si="28"/>
        <v>0</v>
      </c>
      <c r="T52" s="34">
        <f t="shared" si="29"/>
        <v>0</v>
      </c>
      <c r="U52" s="34">
        <f t="shared" si="30"/>
        <v>57480</v>
      </c>
      <c r="V52" s="34">
        <f t="shared" si="31"/>
        <v>0</v>
      </c>
      <c r="W52" s="34">
        <f t="shared" si="32"/>
        <v>0</v>
      </c>
      <c r="X52" s="34">
        <f t="shared" si="33"/>
        <v>0</v>
      </c>
      <c r="Y52" s="26"/>
      <c r="Z52" s="17">
        <f t="shared" si="34"/>
        <v>0</v>
      </c>
      <c r="AA52" s="17">
        <f t="shared" si="35"/>
        <v>0</v>
      </c>
      <c r="AB52" s="17">
        <f t="shared" si="36"/>
        <v>57480</v>
      </c>
      <c r="AD52" s="34">
        <v>21</v>
      </c>
      <c r="AE52" s="34">
        <f>G52*0</f>
        <v>0</v>
      </c>
      <c r="AF52" s="34">
        <f>G52*(1-0)</f>
        <v>120</v>
      </c>
      <c r="AG52" s="29" t="s">
        <v>13</v>
      </c>
      <c r="AM52" s="34">
        <f t="shared" si="37"/>
        <v>0</v>
      </c>
      <c r="AN52" s="34">
        <f t="shared" si="38"/>
        <v>57480</v>
      </c>
      <c r="AO52" s="35" t="s">
        <v>287</v>
      </c>
      <c r="AP52" s="35" t="s">
        <v>298</v>
      </c>
      <c r="AQ52" s="26" t="s">
        <v>300</v>
      </c>
      <c r="AS52" s="34">
        <f t="shared" si="39"/>
        <v>57480</v>
      </c>
      <c r="AT52" s="34">
        <f t="shared" si="40"/>
        <v>120</v>
      </c>
      <c r="AU52" s="34">
        <v>0</v>
      </c>
      <c r="AV52" s="34">
        <f t="shared" si="41"/>
        <v>0</v>
      </c>
    </row>
    <row r="53" spans="1:48" ht="12.75">
      <c r="A53" s="4" t="s">
        <v>41</v>
      </c>
      <c r="B53" s="4"/>
      <c r="C53" s="4" t="s">
        <v>119</v>
      </c>
      <c r="D53" s="4" t="s">
        <v>201</v>
      </c>
      <c r="E53" s="4" t="s">
        <v>248</v>
      </c>
      <c r="F53" s="17">
        <v>479</v>
      </c>
      <c r="G53" s="17">
        <v>50</v>
      </c>
      <c r="H53" s="17">
        <f t="shared" si="22"/>
        <v>0</v>
      </c>
      <c r="I53" s="17">
        <f t="shared" si="23"/>
        <v>23950</v>
      </c>
      <c r="J53" s="17">
        <f t="shared" si="24"/>
        <v>23950</v>
      </c>
      <c r="K53" s="17">
        <v>0</v>
      </c>
      <c r="L53" s="17">
        <f t="shared" si="25"/>
        <v>0</v>
      </c>
      <c r="M53" s="29" t="s">
        <v>271</v>
      </c>
      <c r="P53" s="34">
        <f t="shared" si="26"/>
        <v>0</v>
      </c>
      <c r="R53" s="34">
        <f t="shared" si="27"/>
        <v>0</v>
      </c>
      <c r="S53" s="34">
        <f t="shared" si="28"/>
        <v>0</v>
      </c>
      <c r="T53" s="34">
        <f t="shared" si="29"/>
        <v>0</v>
      </c>
      <c r="U53" s="34">
        <f t="shared" si="30"/>
        <v>23950</v>
      </c>
      <c r="V53" s="34">
        <f t="shared" si="31"/>
        <v>0</v>
      </c>
      <c r="W53" s="34">
        <f t="shared" si="32"/>
        <v>0</v>
      </c>
      <c r="X53" s="34">
        <f t="shared" si="33"/>
        <v>0</v>
      </c>
      <c r="Y53" s="26"/>
      <c r="Z53" s="17">
        <f t="shared" si="34"/>
        <v>0</v>
      </c>
      <c r="AA53" s="17">
        <f t="shared" si="35"/>
        <v>0</v>
      </c>
      <c r="AB53" s="17">
        <f t="shared" si="36"/>
        <v>23950</v>
      </c>
      <c r="AD53" s="34">
        <v>21</v>
      </c>
      <c r="AE53" s="34">
        <f>G53*0</f>
        <v>0</v>
      </c>
      <c r="AF53" s="34">
        <f>G53*(1-0)</f>
        <v>50</v>
      </c>
      <c r="AG53" s="29" t="s">
        <v>13</v>
      </c>
      <c r="AM53" s="34">
        <f t="shared" si="37"/>
        <v>0</v>
      </c>
      <c r="AN53" s="34">
        <f t="shared" si="38"/>
        <v>23950</v>
      </c>
      <c r="AO53" s="35" t="s">
        <v>287</v>
      </c>
      <c r="AP53" s="35" t="s">
        <v>298</v>
      </c>
      <c r="AQ53" s="26" t="s">
        <v>300</v>
      </c>
      <c r="AS53" s="34">
        <f t="shared" si="39"/>
        <v>23950</v>
      </c>
      <c r="AT53" s="34">
        <f t="shared" si="40"/>
        <v>50</v>
      </c>
      <c r="AU53" s="34">
        <v>0</v>
      </c>
      <c r="AV53" s="34">
        <f t="shared" si="41"/>
        <v>0</v>
      </c>
    </row>
    <row r="54" spans="1:48" ht="12.75">
      <c r="A54" s="4" t="s">
        <v>42</v>
      </c>
      <c r="B54" s="4"/>
      <c r="C54" s="4" t="s">
        <v>120</v>
      </c>
      <c r="D54" s="4" t="s">
        <v>202</v>
      </c>
      <c r="E54" s="4" t="s">
        <v>248</v>
      </c>
      <c r="F54" s="17">
        <v>502.95</v>
      </c>
      <c r="G54" s="17">
        <v>130</v>
      </c>
      <c r="H54" s="17">
        <f t="shared" si="22"/>
        <v>23417.73619791665</v>
      </c>
      <c r="I54" s="17">
        <f t="shared" si="23"/>
        <v>41965.763802083355</v>
      </c>
      <c r="J54" s="17">
        <f t="shared" si="24"/>
        <v>65383.5</v>
      </c>
      <c r="K54" s="17">
        <v>0.00013</v>
      </c>
      <c r="L54" s="17">
        <f t="shared" si="25"/>
        <v>0.0653835</v>
      </c>
      <c r="M54" s="29" t="s">
        <v>271</v>
      </c>
      <c r="P54" s="34">
        <f t="shared" si="26"/>
        <v>0</v>
      </c>
      <c r="R54" s="34">
        <f t="shared" si="27"/>
        <v>0</v>
      </c>
      <c r="S54" s="34">
        <f t="shared" si="28"/>
        <v>0</v>
      </c>
      <c r="T54" s="34">
        <f t="shared" si="29"/>
        <v>23417.73619791665</v>
      </c>
      <c r="U54" s="34">
        <f t="shared" si="30"/>
        <v>41965.763802083355</v>
      </c>
      <c r="V54" s="34">
        <f t="shared" si="31"/>
        <v>0</v>
      </c>
      <c r="W54" s="34">
        <f t="shared" si="32"/>
        <v>0</v>
      </c>
      <c r="X54" s="34">
        <f t="shared" si="33"/>
        <v>0</v>
      </c>
      <c r="Y54" s="26"/>
      <c r="Z54" s="17">
        <f t="shared" si="34"/>
        <v>0</v>
      </c>
      <c r="AA54" s="17">
        <f t="shared" si="35"/>
        <v>0</v>
      </c>
      <c r="AB54" s="17">
        <f t="shared" si="36"/>
        <v>65383.5</v>
      </c>
      <c r="AD54" s="34">
        <v>21</v>
      </c>
      <c r="AE54" s="34">
        <f>G54*0.358159722222222</f>
        <v>46.56076388888886</v>
      </c>
      <c r="AF54" s="34">
        <f>G54*(1-0.358159722222222)</f>
        <v>83.43923611111116</v>
      </c>
      <c r="AG54" s="29" t="s">
        <v>13</v>
      </c>
      <c r="AM54" s="34">
        <f t="shared" si="37"/>
        <v>23417.73619791665</v>
      </c>
      <c r="AN54" s="34">
        <f t="shared" si="38"/>
        <v>41965.763802083355</v>
      </c>
      <c r="AO54" s="35" t="s">
        <v>287</v>
      </c>
      <c r="AP54" s="35" t="s">
        <v>298</v>
      </c>
      <c r="AQ54" s="26" t="s">
        <v>300</v>
      </c>
      <c r="AS54" s="34">
        <f t="shared" si="39"/>
        <v>65383.5</v>
      </c>
      <c r="AT54" s="34">
        <f t="shared" si="40"/>
        <v>130</v>
      </c>
      <c r="AU54" s="34">
        <v>0</v>
      </c>
      <c r="AV54" s="34">
        <f t="shared" si="41"/>
        <v>0.0653835</v>
      </c>
    </row>
    <row r="55" spans="1:48" ht="12.75">
      <c r="A55" s="6" t="s">
        <v>43</v>
      </c>
      <c r="B55" s="6"/>
      <c r="C55" s="6" t="s">
        <v>121</v>
      </c>
      <c r="D55" s="6" t="s">
        <v>203</v>
      </c>
      <c r="E55" s="6" t="s">
        <v>249</v>
      </c>
      <c r="F55" s="18">
        <v>2640.6</v>
      </c>
      <c r="G55" s="18">
        <v>25</v>
      </c>
      <c r="H55" s="18">
        <f t="shared" si="22"/>
        <v>66015</v>
      </c>
      <c r="I55" s="18">
        <f t="shared" si="23"/>
        <v>0</v>
      </c>
      <c r="J55" s="18">
        <f t="shared" si="24"/>
        <v>66015</v>
      </c>
      <c r="K55" s="18">
        <v>0.001</v>
      </c>
      <c r="L55" s="18">
        <f t="shared" si="25"/>
        <v>2.6406</v>
      </c>
      <c r="M55" s="30" t="s">
        <v>271</v>
      </c>
      <c r="P55" s="34">
        <f t="shared" si="26"/>
        <v>0</v>
      </c>
      <c r="R55" s="34">
        <f t="shared" si="27"/>
        <v>0</v>
      </c>
      <c r="S55" s="34">
        <f t="shared" si="28"/>
        <v>0</v>
      </c>
      <c r="T55" s="34">
        <f t="shared" si="29"/>
        <v>66015</v>
      </c>
      <c r="U55" s="34">
        <f t="shared" si="30"/>
        <v>0</v>
      </c>
      <c r="V55" s="34">
        <f t="shared" si="31"/>
        <v>0</v>
      </c>
      <c r="W55" s="34">
        <f t="shared" si="32"/>
        <v>0</v>
      </c>
      <c r="X55" s="34">
        <f t="shared" si="33"/>
        <v>0</v>
      </c>
      <c r="Y55" s="26"/>
      <c r="Z55" s="18">
        <f t="shared" si="34"/>
        <v>0</v>
      </c>
      <c r="AA55" s="18">
        <f t="shared" si="35"/>
        <v>0</v>
      </c>
      <c r="AB55" s="18">
        <f t="shared" si="36"/>
        <v>66015</v>
      </c>
      <c r="AD55" s="34">
        <v>21</v>
      </c>
      <c r="AE55" s="34">
        <f>G55*1</f>
        <v>25</v>
      </c>
      <c r="AF55" s="34">
        <f>G55*(1-1)</f>
        <v>0</v>
      </c>
      <c r="AG55" s="30" t="s">
        <v>13</v>
      </c>
      <c r="AM55" s="34">
        <f t="shared" si="37"/>
        <v>66015</v>
      </c>
      <c r="AN55" s="34">
        <f t="shared" si="38"/>
        <v>0</v>
      </c>
      <c r="AO55" s="35" t="s">
        <v>287</v>
      </c>
      <c r="AP55" s="35" t="s">
        <v>298</v>
      </c>
      <c r="AQ55" s="26" t="s">
        <v>300</v>
      </c>
      <c r="AS55" s="34">
        <f t="shared" si="39"/>
        <v>66015</v>
      </c>
      <c r="AT55" s="34">
        <f t="shared" si="40"/>
        <v>25</v>
      </c>
      <c r="AU55" s="34">
        <v>0</v>
      </c>
      <c r="AV55" s="34">
        <f t="shared" si="41"/>
        <v>2.6406</v>
      </c>
    </row>
    <row r="56" spans="1:48" ht="12.75">
      <c r="A56" s="4" t="s">
        <v>44</v>
      </c>
      <c r="B56" s="4"/>
      <c r="C56" s="4" t="s">
        <v>122</v>
      </c>
      <c r="D56" s="4" t="s">
        <v>204</v>
      </c>
      <c r="E56" s="4" t="s">
        <v>248</v>
      </c>
      <c r="F56" s="17">
        <v>479</v>
      </c>
      <c r="G56" s="17">
        <v>320</v>
      </c>
      <c r="H56" s="17">
        <f t="shared" si="22"/>
        <v>118124.3286448332</v>
      </c>
      <c r="I56" s="17">
        <f t="shared" si="23"/>
        <v>35155.67135516681</v>
      </c>
      <c r="J56" s="17">
        <f t="shared" si="24"/>
        <v>153280</v>
      </c>
      <c r="K56" s="17">
        <v>0.04284</v>
      </c>
      <c r="L56" s="17">
        <f t="shared" si="25"/>
        <v>20.52036</v>
      </c>
      <c r="M56" s="29" t="s">
        <v>271</v>
      </c>
      <c r="P56" s="34">
        <f t="shared" si="26"/>
        <v>0</v>
      </c>
      <c r="R56" s="34">
        <f t="shared" si="27"/>
        <v>0</v>
      </c>
      <c r="S56" s="34">
        <f t="shared" si="28"/>
        <v>0</v>
      </c>
      <c r="T56" s="34">
        <f t="shared" si="29"/>
        <v>118124.3286448332</v>
      </c>
      <c r="U56" s="34">
        <f t="shared" si="30"/>
        <v>35155.67135516681</v>
      </c>
      <c r="V56" s="34">
        <f t="shared" si="31"/>
        <v>0</v>
      </c>
      <c r="W56" s="34">
        <f t="shared" si="32"/>
        <v>0</v>
      </c>
      <c r="X56" s="34">
        <f t="shared" si="33"/>
        <v>0</v>
      </c>
      <c r="Y56" s="26"/>
      <c r="Z56" s="17">
        <f t="shared" si="34"/>
        <v>0</v>
      </c>
      <c r="AA56" s="17">
        <f t="shared" si="35"/>
        <v>0</v>
      </c>
      <c r="AB56" s="17">
        <f t="shared" si="36"/>
        <v>153280</v>
      </c>
      <c r="AD56" s="34">
        <v>21</v>
      </c>
      <c r="AE56" s="34">
        <f>G56*0.770644106503348</f>
        <v>246.60611408107138</v>
      </c>
      <c r="AF56" s="34">
        <f>G56*(1-0.770644106503348)</f>
        <v>73.39388591892863</v>
      </c>
      <c r="AG56" s="29" t="s">
        <v>13</v>
      </c>
      <c r="AM56" s="34">
        <f t="shared" si="37"/>
        <v>118124.3286448332</v>
      </c>
      <c r="AN56" s="34">
        <f t="shared" si="38"/>
        <v>35155.671355166814</v>
      </c>
      <c r="AO56" s="35" t="s">
        <v>287</v>
      </c>
      <c r="AP56" s="35" t="s">
        <v>298</v>
      </c>
      <c r="AQ56" s="26" t="s">
        <v>300</v>
      </c>
      <c r="AS56" s="34">
        <f t="shared" si="39"/>
        <v>153280</v>
      </c>
      <c r="AT56" s="34">
        <f t="shared" si="40"/>
        <v>320</v>
      </c>
      <c r="AU56" s="34">
        <v>0</v>
      </c>
      <c r="AV56" s="34">
        <f t="shared" si="41"/>
        <v>20.52036</v>
      </c>
    </row>
    <row r="57" spans="1:48" ht="12.75">
      <c r="A57" s="4" t="s">
        <v>45</v>
      </c>
      <c r="B57" s="4"/>
      <c r="C57" s="4" t="s">
        <v>123</v>
      </c>
      <c r="D57" s="4" t="s">
        <v>205</v>
      </c>
      <c r="E57" s="4" t="s">
        <v>249</v>
      </c>
      <c r="F57" s="17">
        <v>30</v>
      </c>
      <c r="G57" s="17">
        <v>300</v>
      </c>
      <c r="H57" s="17">
        <f t="shared" si="22"/>
        <v>4257.163636363638</v>
      </c>
      <c r="I57" s="17">
        <f t="shared" si="23"/>
        <v>4742.836363636362</v>
      </c>
      <c r="J57" s="17">
        <f t="shared" si="24"/>
        <v>9000</v>
      </c>
      <c r="K57" s="17">
        <v>0</v>
      </c>
      <c r="L57" s="17">
        <f t="shared" si="25"/>
        <v>0</v>
      </c>
      <c r="M57" s="29" t="s">
        <v>271</v>
      </c>
      <c r="P57" s="34">
        <f t="shared" si="26"/>
        <v>0</v>
      </c>
      <c r="R57" s="34">
        <f t="shared" si="27"/>
        <v>0</v>
      </c>
      <c r="S57" s="34">
        <f t="shared" si="28"/>
        <v>0</v>
      </c>
      <c r="T57" s="34">
        <f t="shared" si="29"/>
        <v>4257.163636363638</v>
      </c>
      <c r="U57" s="34">
        <f t="shared" si="30"/>
        <v>4742.836363636362</v>
      </c>
      <c r="V57" s="34">
        <f t="shared" si="31"/>
        <v>0</v>
      </c>
      <c r="W57" s="34">
        <f t="shared" si="32"/>
        <v>0</v>
      </c>
      <c r="X57" s="34">
        <f t="shared" si="33"/>
        <v>0</v>
      </c>
      <c r="Y57" s="26"/>
      <c r="Z57" s="17">
        <f t="shared" si="34"/>
        <v>0</v>
      </c>
      <c r="AA57" s="17">
        <f t="shared" si="35"/>
        <v>0</v>
      </c>
      <c r="AB57" s="17">
        <f t="shared" si="36"/>
        <v>9000</v>
      </c>
      <c r="AD57" s="34">
        <v>21</v>
      </c>
      <c r="AE57" s="34">
        <f>G57*0.473018181818182</f>
        <v>141.9054545454546</v>
      </c>
      <c r="AF57" s="34">
        <f>G57*(1-0.473018181818182)</f>
        <v>158.0945454545454</v>
      </c>
      <c r="AG57" s="29" t="s">
        <v>13</v>
      </c>
      <c r="AM57" s="34">
        <f t="shared" si="37"/>
        <v>4257.163636363638</v>
      </c>
      <c r="AN57" s="34">
        <f t="shared" si="38"/>
        <v>4742.836363636362</v>
      </c>
      <c r="AO57" s="35" t="s">
        <v>287</v>
      </c>
      <c r="AP57" s="35" t="s">
        <v>298</v>
      </c>
      <c r="AQ57" s="26" t="s">
        <v>300</v>
      </c>
      <c r="AS57" s="34">
        <f t="shared" si="39"/>
        <v>9000</v>
      </c>
      <c r="AT57" s="34">
        <f t="shared" si="40"/>
        <v>300</v>
      </c>
      <c r="AU57" s="34">
        <v>0</v>
      </c>
      <c r="AV57" s="34">
        <f t="shared" si="41"/>
        <v>0</v>
      </c>
    </row>
    <row r="58" spans="1:48" ht="12.75">
      <c r="A58" s="4" t="s">
        <v>46</v>
      </c>
      <c r="B58" s="4"/>
      <c r="C58" s="4" t="s">
        <v>124</v>
      </c>
      <c r="D58" s="4" t="s">
        <v>206</v>
      </c>
      <c r="E58" s="4" t="s">
        <v>249</v>
      </c>
      <c r="F58" s="17">
        <v>92</v>
      </c>
      <c r="G58" s="17">
        <v>200</v>
      </c>
      <c r="H58" s="17">
        <f t="shared" si="22"/>
        <v>8320.888888888885</v>
      </c>
      <c r="I58" s="17">
        <f t="shared" si="23"/>
        <v>10079.111111111115</v>
      </c>
      <c r="J58" s="17">
        <f t="shared" si="24"/>
        <v>18400</v>
      </c>
      <c r="K58" s="17">
        <v>0.00032</v>
      </c>
      <c r="L58" s="17">
        <f t="shared" si="25"/>
        <v>0.02944</v>
      </c>
      <c r="M58" s="29" t="s">
        <v>271</v>
      </c>
      <c r="P58" s="34">
        <f t="shared" si="26"/>
        <v>0</v>
      </c>
      <c r="R58" s="34">
        <f t="shared" si="27"/>
        <v>0</v>
      </c>
      <c r="S58" s="34">
        <f t="shared" si="28"/>
        <v>0</v>
      </c>
      <c r="T58" s="34">
        <f t="shared" si="29"/>
        <v>8320.888888888885</v>
      </c>
      <c r="U58" s="34">
        <f t="shared" si="30"/>
        <v>10079.111111111115</v>
      </c>
      <c r="V58" s="34">
        <f t="shared" si="31"/>
        <v>0</v>
      </c>
      <c r="W58" s="34">
        <f t="shared" si="32"/>
        <v>0</v>
      </c>
      <c r="X58" s="34">
        <f t="shared" si="33"/>
        <v>0</v>
      </c>
      <c r="Y58" s="26"/>
      <c r="Z58" s="17">
        <f t="shared" si="34"/>
        <v>0</v>
      </c>
      <c r="AA58" s="17">
        <f t="shared" si="35"/>
        <v>0</v>
      </c>
      <c r="AB58" s="17">
        <f t="shared" si="36"/>
        <v>18400</v>
      </c>
      <c r="AD58" s="34">
        <v>21</v>
      </c>
      <c r="AE58" s="34">
        <f>G58*0.452222222222222</f>
        <v>90.4444444444444</v>
      </c>
      <c r="AF58" s="34">
        <f>G58*(1-0.452222222222222)</f>
        <v>109.55555555555559</v>
      </c>
      <c r="AG58" s="29" t="s">
        <v>13</v>
      </c>
      <c r="AM58" s="34">
        <f t="shared" si="37"/>
        <v>8320.888888888885</v>
      </c>
      <c r="AN58" s="34">
        <f t="shared" si="38"/>
        <v>10079.111111111113</v>
      </c>
      <c r="AO58" s="35" t="s">
        <v>287</v>
      </c>
      <c r="AP58" s="35" t="s">
        <v>298</v>
      </c>
      <c r="AQ58" s="26" t="s">
        <v>300</v>
      </c>
      <c r="AS58" s="34">
        <f t="shared" si="39"/>
        <v>18400</v>
      </c>
      <c r="AT58" s="34">
        <f t="shared" si="40"/>
        <v>200</v>
      </c>
      <c r="AU58" s="34">
        <v>0</v>
      </c>
      <c r="AV58" s="34">
        <f t="shared" si="41"/>
        <v>0.02944</v>
      </c>
    </row>
    <row r="59" spans="1:48" ht="12.75">
      <c r="A59" s="4" t="s">
        <v>47</v>
      </c>
      <c r="B59" s="4"/>
      <c r="C59" s="4" t="s">
        <v>125</v>
      </c>
      <c r="D59" s="4" t="s">
        <v>207</v>
      </c>
      <c r="E59" s="4" t="s">
        <v>249</v>
      </c>
      <c r="F59" s="17">
        <v>15</v>
      </c>
      <c r="G59" s="17">
        <v>580</v>
      </c>
      <c r="H59" s="17">
        <f t="shared" si="22"/>
        <v>7695.27223577116</v>
      </c>
      <c r="I59" s="17">
        <f t="shared" si="23"/>
        <v>1004.72776422884</v>
      </c>
      <c r="J59" s="17">
        <f t="shared" si="24"/>
        <v>8700</v>
      </c>
      <c r="K59" s="17">
        <v>0.00893</v>
      </c>
      <c r="L59" s="17">
        <f t="shared" si="25"/>
        <v>0.13395</v>
      </c>
      <c r="M59" s="29" t="s">
        <v>271</v>
      </c>
      <c r="P59" s="34">
        <f t="shared" si="26"/>
        <v>0</v>
      </c>
      <c r="R59" s="34">
        <f t="shared" si="27"/>
        <v>0</v>
      </c>
      <c r="S59" s="34">
        <f t="shared" si="28"/>
        <v>0</v>
      </c>
      <c r="T59" s="34">
        <f t="shared" si="29"/>
        <v>7695.27223577116</v>
      </c>
      <c r="U59" s="34">
        <f t="shared" si="30"/>
        <v>1004.72776422884</v>
      </c>
      <c r="V59" s="34">
        <f t="shared" si="31"/>
        <v>0</v>
      </c>
      <c r="W59" s="34">
        <f t="shared" si="32"/>
        <v>0</v>
      </c>
      <c r="X59" s="34">
        <f t="shared" si="33"/>
        <v>0</v>
      </c>
      <c r="Y59" s="26"/>
      <c r="Z59" s="17">
        <f t="shared" si="34"/>
        <v>0</v>
      </c>
      <c r="AA59" s="17">
        <f t="shared" si="35"/>
        <v>0</v>
      </c>
      <c r="AB59" s="17">
        <f t="shared" si="36"/>
        <v>8700</v>
      </c>
      <c r="AD59" s="34">
        <v>21</v>
      </c>
      <c r="AE59" s="34">
        <f>G59*0.884514050088639</f>
        <v>513.0181490514107</v>
      </c>
      <c r="AF59" s="34">
        <f>G59*(1-0.884514050088639)</f>
        <v>66.98185094858935</v>
      </c>
      <c r="AG59" s="29" t="s">
        <v>13</v>
      </c>
      <c r="AM59" s="34">
        <f t="shared" si="37"/>
        <v>7695.27223577116</v>
      </c>
      <c r="AN59" s="34">
        <f t="shared" si="38"/>
        <v>1004.7277642288403</v>
      </c>
      <c r="AO59" s="35" t="s">
        <v>287</v>
      </c>
      <c r="AP59" s="35" t="s">
        <v>298</v>
      </c>
      <c r="AQ59" s="26" t="s">
        <v>300</v>
      </c>
      <c r="AS59" s="34">
        <f t="shared" si="39"/>
        <v>8700</v>
      </c>
      <c r="AT59" s="34">
        <f t="shared" si="40"/>
        <v>580</v>
      </c>
      <c r="AU59" s="34">
        <v>0</v>
      </c>
      <c r="AV59" s="34">
        <f t="shared" si="41"/>
        <v>0.13395</v>
      </c>
    </row>
    <row r="60" spans="1:48" ht="12.75">
      <c r="A60" s="4" t="s">
        <v>48</v>
      </c>
      <c r="B60" s="4"/>
      <c r="C60" s="4" t="s">
        <v>126</v>
      </c>
      <c r="D60" s="4" t="s">
        <v>208</v>
      </c>
      <c r="E60" s="4" t="s">
        <v>249</v>
      </c>
      <c r="F60" s="17">
        <v>46</v>
      </c>
      <c r="G60" s="17">
        <v>1000</v>
      </c>
      <c r="H60" s="17">
        <f t="shared" si="22"/>
        <v>38220.60093896713</v>
      </c>
      <c r="I60" s="17">
        <f t="shared" si="23"/>
        <v>7779.399061032869</v>
      </c>
      <c r="J60" s="17">
        <f t="shared" si="24"/>
        <v>46000</v>
      </c>
      <c r="K60" s="17">
        <v>0.00878</v>
      </c>
      <c r="L60" s="17">
        <f t="shared" si="25"/>
        <v>0.40387999999999996</v>
      </c>
      <c r="M60" s="29" t="s">
        <v>271</v>
      </c>
      <c r="P60" s="34">
        <f t="shared" si="26"/>
        <v>0</v>
      </c>
      <c r="R60" s="34">
        <f t="shared" si="27"/>
        <v>0</v>
      </c>
      <c r="S60" s="34">
        <f t="shared" si="28"/>
        <v>0</v>
      </c>
      <c r="T60" s="34">
        <f t="shared" si="29"/>
        <v>38220.60093896713</v>
      </c>
      <c r="U60" s="34">
        <f t="shared" si="30"/>
        <v>7779.399061032869</v>
      </c>
      <c r="V60" s="34">
        <f t="shared" si="31"/>
        <v>0</v>
      </c>
      <c r="W60" s="34">
        <f t="shared" si="32"/>
        <v>0</v>
      </c>
      <c r="X60" s="34">
        <f t="shared" si="33"/>
        <v>0</v>
      </c>
      <c r="Y60" s="26"/>
      <c r="Z60" s="17">
        <f t="shared" si="34"/>
        <v>0</v>
      </c>
      <c r="AA60" s="17">
        <f t="shared" si="35"/>
        <v>0</v>
      </c>
      <c r="AB60" s="17">
        <f t="shared" si="36"/>
        <v>46000</v>
      </c>
      <c r="AD60" s="34">
        <v>21</v>
      </c>
      <c r="AE60" s="34">
        <f>G60*0.830882629107981</f>
        <v>830.8826291079811</v>
      </c>
      <c r="AF60" s="34">
        <f>G60*(1-0.830882629107981)</f>
        <v>169.11737089201895</v>
      </c>
      <c r="AG60" s="29" t="s">
        <v>13</v>
      </c>
      <c r="AM60" s="34">
        <f t="shared" si="37"/>
        <v>38220.60093896713</v>
      </c>
      <c r="AN60" s="34">
        <f t="shared" si="38"/>
        <v>7779.399061032872</v>
      </c>
      <c r="AO60" s="35" t="s">
        <v>287</v>
      </c>
      <c r="AP60" s="35" t="s">
        <v>298</v>
      </c>
      <c r="AQ60" s="26" t="s">
        <v>300</v>
      </c>
      <c r="AS60" s="34">
        <f t="shared" si="39"/>
        <v>46000</v>
      </c>
      <c r="AT60" s="34">
        <f t="shared" si="40"/>
        <v>1000</v>
      </c>
      <c r="AU60" s="34">
        <v>0</v>
      </c>
      <c r="AV60" s="34">
        <f t="shared" si="41"/>
        <v>0.40387999999999996</v>
      </c>
    </row>
    <row r="61" spans="1:48" ht="12.75">
      <c r="A61" s="4" t="s">
        <v>49</v>
      </c>
      <c r="B61" s="4"/>
      <c r="C61" s="4" t="s">
        <v>127</v>
      </c>
      <c r="D61" s="4" t="s">
        <v>209</v>
      </c>
      <c r="E61" s="4" t="s">
        <v>252</v>
      </c>
      <c r="F61" s="17">
        <v>4</v>
      </c>
      <c r="G61" s="17">
        <v>1000</v>
      </c>
      <c r="H61" s="17">
        <f t="shared" si="22"/>
        <v>3852.08695652174</v>
      </c>
      <c r="I61" s="17">
        <f t="shared" si="23"/>
        <v>147.91304347826008</v>
      </c>
      <c r="J61" s="17">
        <f t="shared" si="24"/>
        <v>4000</v>
      </c>
      <c r="K61" s="17">
        <v>0.01134</v>
      </c>
      <c r="L61" s="17">
        <f t="shared" si="25"/>
        <v>0.04536</v>
      </c>
      <c r="M61" s="29" t="s">
        <v>271</v>
      </c>
      <c r="P61" s="34">
        <f t="shared" si="26"/>
        <v>0</v>
      </c>
      <c r="R61" s="34">
        <f t="shared" si="27"/>
        <v>0</v>
      </c>
      <c r="S61" s="34">
        <f t="shared" si="28"/>
        <v>0</v>
      </c>
      <c r="T61" s="34">
        <f t="shared" si="29"/>
        <v>3852.08695652174</v>
      </c>
      <c r="U61" s="34">
        <f t="shared" si="30"/>
        <v>147.91304347826008</v>
      </c>
      <c r="V61" s="34">
        <f t="shared" si="31"/>
        <v>0</v>
      </c>
      <c r="W61" s="34">
        <f t="shared" si="32"/>
        <v>0</v>
      </c>
      <c r="X61" s="34">
        <f t="shared" si="33"/>
        <v>0</v>
      </c>
      <c r="Y61" s="26"/>
      <c r="Z61" s="17">
        <f t="shared" si="34"/>
        <v>0</v>
      </c>
      <c r="AA61" s="17">
        <f t="shared" si="35"/>
        <v>0</v>
      </c>
      <c r="AB61" s="17">
        <f t="shared" si="36"/>
        <v>4000</v>
      </c>
      <c r="AD61" s="34">
        <v>21</v>
      </c>
      <c r="AE61" s="34">
        <f>G61*0.963021739130435</f>
        <v>963.021739130435</v>
      </c>
      <c r="AF61" s="34">
        <f>G61*(1-0.963021739130435)</f>
        <v>36.97826086956502</v>
      </c>
      <c r="AG61" s="29" t="s">
        <v>13</v>
      </c>
      <c r="AM61" s="34">
        <f t="shared" si="37"/>
        <v>3852.08695652174</v>
      </c>
      <c r="AN61" s="34">
        <f t="shared" si="38"/>
        <v>147.91304347826008</v>
      </c>
      <c r="AO61" s="35" t="s">
        <v>287</v>
      </c>
      <c r="AP61" s="35" t="s">
        <v>298</v>
      </c>
      <c r="AQ61" s="26" t="s">
        <v>300</v>
      </c>
      <c r="AS61" s="34">
        <f t="shared" si="39"/>
        <v>4000</v>
      </c>
      <c r="AT61" s="34">
        <f t="shared" si="40"/>
        <v>1000</v>
      </c>
      <c r="AU61" s="34">
        <v>0</v>
      </c>
      <c r="AV61" s="34">
        <f t="shared" si="41"/>
        <v>0.04536</v>
      </c>
    </row>
    <row r="62" spans="1:48" ht="12.75">
      <c r="A62" s="4" t="s">
        <v>50</v>
      </c>
      <c r="B62" s="4"/>
      <c r="C62" s="4" t="s">
        <v>128</v>
      </c>
      <c r="D62" s="4" t="s">
        <v>210</v>
      </c>
      <c r="E62" s="4" t="s">
        <v>249</v>
      </c>
      <c r="F62" s="17">
        <v>86</v>
      </c>
      <c r="G62" s="17">
        <v>50</v>
      </c>
      <c r="H62" s="17">
        <f t="shared" si="22"/>
        <v>2154.8752834467136</v>
      </c>
      <c r="I62" s="17">
        <f t="shared" si="23"/>
        <v>2145.1247165532864</v>
      </c>
      <c r="J62" s="17">
        <f t="shared" si="24"/>
        <v>4300</v>
      </c>
      <c r="K62" s="17">
        <v>0.00024</v>
      </c>
      <c r="L62" s="17">
        <f t="shared" si="25"/>
        <v>0.020640000000000002</v>
      </c>
      <c r="M62" s="29" t="s">
        <v>271</v>
      </c>
      <c r="P62" s="34">
        <f t="shared" si="26"/>
        <v>0</v>
      </c>
      <c r="R62" s="34">
        <f t="shared" si="27"/>
        <v>0</v>
      </c>
      <c r="S62" s="34">
        <f t="shared" si="28"/>
        <v>0</v>
      </c>
      <c r="T62" s="34">
        <f t="shared" si="29"/>
        <v>2154.8752834467136</v>
      </c>
      <c r="U62" s="34">
        <f t="shared" si="30"/>
        <v>2145.1247165532864</v>
      </c>
      <c r="V62" s="34">
        <f t="shared" si="31"/>
        <v>0</v>
      </c>
      <c r="W62" s="34">
        <f t="shared" si="32"/>
        <v>0</v>
      </c>
      <c r="X62" s="34">
        <f t="shared" si="33"/>
        <v>0</v>
      </c>
      <c r="Y62" s="26"/>
      <c r="Z62" s="17">
        <f t="shared" si="34"/>
        <v>0</v>
      </c>
      <c r="AA62" s="17">
        <f t="shared" si="35"/>
        <v>0</v>
      </c>
      <c r="AB62" s="17">
        <f t="shared" si="36"/>
        <v>4300</v>
      </c>
      <c r="AD62" s="34">
        <v>21</v>
      </c>
      <c r="AE62" s="34">
        <f>G62*0.501133786848073</f>
        <v>25.056689342403647</v>
      </c>
      <c r="AF62" s="34">
        <f>G62*(1-0.501133786848073)</f>
        <v>24.943310657596353</v>
      </c>
      <c r="AG62" s="29" t="s">
        <v>13</v>
      </c>
      <c r="AM62" s="34">
        <f t="shared" si="37"/>
        <v>2154.8752834467136</v>
      </c>
      <c r="AN62" s="34">
        <f t="shared" si="38"/>
        <v>2145.1247165532864</v>
      </c>
      <c r="AO62" s="35" t="s">
        <v>287</v>
      </c>
      <c r="AP62" s="35" t="s">
        <v>298</v>
      </c>
      <c r="AQ62" s="26" t="s">
        <v>300</v>
      </c>
      <c r="AS62" s="34">
        <f t="shared" si="39"/>
        <v>4300</v>
      </c>
      <c r="AT62" s="34">
        <f t="shared" si="40"/>
        <v>50</v>
      </c>
      <c r="AU62" s="34">
        <v>0</v>
      </c>
      <c r="AV62" s="34">
        <f t="shared" si="41"/>
        <v>0.020640000000000002</v>
      </c>
    </row>
    <row r="63" spans="1:48" ht="12.75">
      <c r="A63" s="4" t="s">
        <v>51</v>
      </c>
      <c r="B63" s="4"/>
      <c r="C63" s="4" t="s">
        <v>129</v>
      </c>
      <c r="D63" s="4" t="s">
        <v>211</v>
      </c>
      <c r="E63" s="4" t="s">
        <v>251</v>
      </c>
      <c r="F63" s="17">
        <v>23.85961</v>
      </c>
      <c r="G63" s="17">
        <v>500</v>
      </c>
      <c r="H63" s="17">
        <f t="shared" si="22"/>
        <v>0</v>
      </c>
      <c r="I63" s="17">
        <f t="shared" si="23"/>
        <v>11929.805</v>
      </c>
      <c r="J63" s="17">
        <f t="shared" si="24"/>
        <v>11929.805</v>
      </c>
      <c r="K63" s="17">
        <v>0</v>
      </c>
      <c r="L63" s="17">
        <f t="shared" si="25"/>
        <v>0</v>
      </c>
      <c r="M63" s="29" t="s">
        <v>271</v>
      </c>
      <c r="P63" s="34">
        <f t="shared" si="26"/>
        <v>11929.805</v>
      </c>
      <c r="R63" s="34">
        <f t="shared" si="27"/>
        <v>0</v>
      </c>
      <c r="S63" s="34">
        <f t="shared" si="28"/>
        <v>0</v>
      </c>
      <c r="T63" s="34">
        <f t="shared" si="29"/>
        <v>0</v>
      </c>
      <c r="U63" s="34">
        <f t="shared" si="30"/>
        <v>0</v>
      </c>
      <c r="V63" s="34">
        <f t="shared" si="31"/>
        <v>0</v>
      </c>
      <c r="W63" s="34">
        <f t="shared" si="32"/>
        <v>0</v>
      </c>
      <c r="X63" s="34">
        <f t="shared" si="33"/>
        <v>0</v>
      </c>
      <c r="Y63" s="26"/>
      <c r="Z63" s="17">
        <f t="shared" si="34"/>
        <v>0</v>
      </c>
      <c r="AA63" s="17">
        <f t="shared" si="35"/>
        <v>0</v>
      </c>
      <c r="AB63" s="17">
        <f t="shared" si="36"/>
        <v>11929.805</v>
      </c>
      <c r="AD63" s="34">
        <v>21</v>
      </c>
      <c r="AE63" s="34">
        <f>G63*0</f>
        <v>0</v>
      </c>
      <c r="AF63" s="34">
        <f>G63*(1-0)</f>
        <v>500</v>
      </c>
      <c r="AG63" s="29" t="s">
        <v>11</v>
      </c>
      <c r="AM63" s="34">
        <f t="shared" si="37"/>
        <v>0</v>
      </c>
      <c r="AN63" s="34">
        <f t="shared" si="38"/>
        <v>11929.805</v>
      </c>
      <c r="AO63" s="35" t="s">
        <v>287</v>
      </c>
      <c r="AP63" s="35" t="s">
        <v>298</v>
      </c>
      <c r="AQ63" s="26" t="s">
        <v>300</v>
      </c>
      <c r="AS63" s="34">
        <f t="shared" si="39"/>
        <v>11929.805</v>
      </c>
      <c r="AT63" s="34">
        <f t="shared" si="40"/>
        <v>500</v>
      </c>
      <c r="AU63" s="34">
        <v>0</v>
      </c>
      <c r="AV63" s="34">
        <f t="shared" si="41"/>
        <v>0</v>
      </c>
    </row>
    <row r="64" spans="1:48" ht="12.75">
      <c r="A64" s="4" t="s">
        <v>52</v>
      </c>
      <c r="B64" s="4"/>
      <c r="C64" s="4" t="s">
        <v>130</v>
      </c>
      <c r="D64" s="4" t="s">
        <v>212</v>
      </c>
      <c r="E64" s="4" t="s">
        <v>248</v>
      </c>
      <c r="F64" s="17">
        <v>752</v>
      </c>
      <c r="G64" s="17">
        <v>200</v>
      </c>
      <c r="H64" s="17">
        <f t="shared" si="22"/>
        <v>0</v>
      </c>
      <c r="I64" s="17">
        <f t="shared" si="23"/>
        <v>150400</v>
      </c>
      <c r="J64" s="17">
        <f t="shared" si="24"/>
        <v>150400</v>
      </c>
      <c r="K64" s="17">
        <v>0</v>
      </c>
      <c r="L64" s="17">
        <f t="shared" si="25"/>
        <v>0</v>
      </c>
      <c r="M64" s="29" t="s">
        <v>271</v>
      </c>
      <c r="P64" s="34">
        <f t="shared" si="26"/>
        <v>0</v>
      </c>
      <c r="R64" s="34">
        <f t="shared" si="27"/>
        <v>0</v>
      </c>
      <c r="S64" s="34">
        <f t="shared" si="28"/>
        <v>0</v>
      </c>
      <c r="T64" s="34">
        <f t="shared" si="29"/>
        <v>0</v>
      </c>
      <c r="U64" s="34">
        <f t="shared" si="30"/>
        <v>150400</v>
      </c>
      <c r="V64" s="34">
        <f t="shared" si="31"/>
        <v>0</v>
      </c>
      <c r="W64" s="34">
        <f t="shared" si="32"/>
        <v>0</v>
      </c>
      <c r="X64" s="34">
        <f t="shared" si="33"/>
        <v>0</v>
      </c>
      <c r="Y64" s="26"/>
      <c r="Z64" s="17">
        <f t="shared" si="34"/>
        <v>0</v>
      </c>
      <c r="AA64" s="17">
        <f t="shared" si="35"/>
        <v>0</v>
      </c>
      <c r="AB64" s="17">
        <f t="shared" si="36"/>
        <v>150400</v>
      </c>
      <c r="AD64" s="34">
        <v>21</v>
      </c>
      <c r="AE64" s="34">
        <f>G64*0</f>
        <v>0</v>
      </c>
      <c r="AF64" s="34">
        <f>G64*(1-0)</f>
        <v>200</v>
      </c>
      <c r="AG64" s="29" t="s">
        <v>13</v>
      </c>
      <c r="AM64" s="34">
        <f t="shared" si="37"/>
        <v>0</v>
      </c>
      <c r="AN64" s="34">
        <f t="shared" si="38"/>
        <v>150400</v>
      </c>
      <c r="AO64" s="35" t="s">
        <v>287</v>
      </c>
      <c r="AP64" s="35" t="s">
        <v>298</v>
      </c>
      <c r="AQ64" s="26" t="s">
        <v>300</v>
      </c>
      <c r="AS64" s="34">
        <f t="shared" si="39"/>
        <v>150400</v>
      </c>
      <c r="AT64" s="34">
        <f t="shared" si="40"/>
        <v>200</v>
      </c>
      <c r="AU64" s="34">
        <v>0</v>
      </c>
      <c r="AV64" s="34">
        <f t="shared" si="41"/>
        <v>0</v>
      </c>
    </row>
    <row r="65" spans="1:48" ht="12.75">
      <c r="A65" s="4" t="s">
        <v>53</v>
      </c>
      <c r="B65" s="4"/>
      <c r="C65" s="4" t="s">
        <v>131</v>
      </c>
      <c r="D65" s="4" t="s">
        <v>213</v>
      </c>
      <c r="E65" s="4" t="s">
        <v>252</v>
      </c>
      <c r="F65" s="17">
        <v>2</v>
      </c>
      <c r="G65" s="17">
        <v>15000</v>
      </c>
      <c r="H65" s="17">
        <f t="shared" si="22"/>
        <v>0</v>
      </c>
      <c r="I65" s="17">
        <f t="shared" si="23"/>
        <v>30000</v>
      </c>
      <c r="J65" s="17">
        <f t="shared" si="24"/>
        <v>30000</v>
      </c>
      <c r="K65" s="17">
        <v>0</v>
      </c>
      <c r="L65" s="17">
        <f t="shared" si="25"/>
        <v>0</v>
      </c>
      <c r="M65" s="29" t="s">
        <v>271</v>
      </c>
      <c r="P65" s="34">
        <f t="shared" si="26"/>
        <v>0</v>
      </c>
      <c r="R65" s="34">
        <f t="shared" si="27"/>
        <v>0</v>
      </c>
      <c r="S65" s="34">
        <f t="shared" si="28"/>
        <v>0</v>
      </c>
      <c r="T65" s="34">
        <f t="shared" si="29"/>
        <v>0</v>
      </c>
      <c r="U65" s="34">
        <f t="shared" si="30"/>
        <v>30000</v>
      </c>
      <c r="V65" s="34">
        <f t="shared" si="31"/>
        <v>0</v>
      </c>
      <c r="W65" s="34">
        <f t="shared" si="32"/>
        <v>0</v>
      </c>
      <c r="X65" s="34">
        <f t="shared" si="33"/>
        <v>0</v>
      </c>
      <c r="Y65" s="26"/>
      <c r="Z65" s="17">
        <f t="shared" si="34"/>
        <v>0</v>
      </c>
      <c r="AA65" s="17">
        <f t="shared" si="35"/>
        <v>0</v>
      </c>
      <c r="AB65" s="17">
        <f t="shared" si="36"/>
        <v>30000</v>
      </c>
      <c r="AD65" s="34">
        <v>21</v>
      </c>
      <c r="AE65" s="34">
        <f>G65*0</f>
        <v>0</v>
      </c>
      <c r="AF65" s="34">
        <f>G65*(1-0)</f>
        <v>15000</v>
      </c>
      <c r="AG65" s="29" t="s">
        <v>13</v>
      </c>
      <c r="AM65" s="34">
        <f t="shared" si="37"/>
        <v>0</v>
      </c>
      <c r="AN65" s="34">
        <f t="shared" si="38"/>
        <v>30000</v>
      </c>
      <c r="AO65" s="35" t="s">
        <v>287</v>
      </c>
      <c r="AP65" s="35" t="s">
        <v>298</v>
      </c>
      <c r="AQ65" s="26" t="s">
        <v>300</v>
      </c>
      <c r="AS65" s="34">
        <f t="shared" si="39"/>
        <v>30000</v>
      </c>
      <c r="AT65" s="34">
        <f t="shared" si="40"/>
        <v>15000</v>
      </c>
      <c r="AU65" s="34">
        <v>0</v>
      </c>
      <c r="AV65" s="34">
        <f t="shared" si="41"/>
        <v>0</v>
      </c>
    </row>
    <row r="66" spans="1:48" ht="12.75">
      <c r="A66" s="4" t="s">
        <v>54</v>
      </c>
      <c r="B66" s="4"/>
      <c r="C66" s="4" t="s">
        <v>132</v>
      </c>
      <c r="D66" s="4" t="s">
        <v>214</v>
      </c>
      <c r="E66" s="4" t="s">
        <v>253</v>
      </c>
      <c r="F66" s="17">
        <v>20</v>
      </c>
      <c r="G66" s="17">
        <v>1000</v>
      </c>
      <c r="H66" s="17">
        <f t="shared" si="22"/>
        <v>0</v>
      </c>
      <c r="I66" s="17">
        <f t="shared" si="23"/>
        <v>20000</v>
      </c>
      <c r="J66" s="17">
        <f t="shared" si="24"/>
        <v>20000</v>
      </c>
      <c r="K66" s="17">
        <v>0</v>
      </c>
      <c r="L66" s="17">
        <f t="shared" si="25"/>
        <v>0</v>
      </c>
      <c r="M66" s="29" t="s">
        <v>271</v>
      </c>
      <c r="P66" s="34">
        <f t="shared" si="26"/>
        <v>0</v>
      </c>
      <c r="R66" s="34">
        <f t="shared" si="27"/>
        <v>0</v>
      </c>
      <c r="S66" s="34">
        <f t="shared" si="28"/>
        <v>0</v>
      </c>
      <c r="T66" s="34">
        <f t="shared" si="29"/>
        <v>0</v>
      </c>
      <c r="U66" s="34">
        <f t="shared" si="30"/>
        <v>20000</v>
      </c>
      <c r="V66" s="34">
        <f t="shared" si="31"/>
        <v>0</v>
      </c>
      <c r="W66" s="34">
        <f t="shared" si="32"/>
        <v>0</v>
      </c>
      <c r="X66" s="34">
        <f t="shared" si="33"/>
        <v>0</v>
      </c>
      <c r="Y66" s="26"/>
      <c r="Z66" s="17">
        <f t="shared" si="34"/>
        <v>0</v>
      </c>
      <c r="AA66" s="17">
        <f t="shared" si="35"/>
        <v>0</v>
      </c>
      <c r="AB66" s="17">
        <f t="shared" si="36"/>
        <v>20000</v>
      </c>
      <c r="AD66" s="34">
        <v>21</v>
      </c>
      <c r="AE66" s="34">
        <f>G66*0</f>
        <v>0</v>
      </c>
      <c r="AF66" s="34">
        <f>G66*(1-0)</f>
        <v>1000</v>
      </c>
      <c r="AG66" s="29" t="s">
        <v>13</v>
      </c>
      <c r="AM66" s="34">
        <f t="shared" si="37"/>
        <v>0</v>
      </c>
      <c r="AN66" s="34">
        <f t="shared" si="38"/>
        <v>20000</v>
      </c>
      <c r="AO66" s="35" t="s">
        <v>287</v>
      </c>
      <c r="AP66" s="35" t="s">
        <v>298</v>
      </c>
      <c r="AQ66" s="26" t="s">
        <v>300</v>
      </c>
      <c r="AS66" s="34">
        <f t="shared" si="39"/>
        <v>20000</v>
      </c>
      <c r="AT66" s="34">
        <f t="shared" si="40"/>
        <v>1000</v>
      </c>
      <c r="AU66" s="34">
        <v>0</v>
      </c>
      <c r="AV66" s="34">
        <f t="shared" si="41"/>
        <v>0</v>
      </c>
    </row>
    <row r="67" spans="1:37" ht="12.75">
      <c r="A67" s="5"/>
      <c r="B67" s="13"/>
      <c r="C67" s="13" t="s">
        <v>133</v>
      </c>
      <c r="D67" s="94" t="s">
        <v>215</v>
      </c>
      <c r="E67" s="95"/>
      <c r="F67" s="95"/>
      <c r="G67" s="95"/>
      <c r="H67" s="37">
        <f>SUM(H68:H73)</f>
        <v>40013.613451093806</v>
      </c>
      <c r="I67" s="37">
        <f>SUM(I68:I73)</f>
        <v>53664.136548906194</v>
      </c>
      <c r="J67" s="37">
        <f>H67+I67</f>
        <v>93677.75</v>
      </c>
      <c r="K67" s="26"/>
      <c r="L67" s="37">
        <f>SUM(L68:L73)</f>
        <v>2.087304</v>
      </c>
      <c r="M67" s="26"/>
      <c r="Y67" s="26"/>
      <c r="AI67" s="37">
        <f>SUM(Z68:Z73)</f>
        <v>0</v>
      </c>
      <c r="AJ67" s="37">
        <f>SUM(AA68:AA73)</f>
        <v>0</v>
      </c>
      <c r="AK67" s="37">
        <f>SUM(AB68:AB73)</f>
        <v>93677.75</v>
      </c>
    </row>
    <row r="68" spans="1:48" ht="12.75">
      <c r="A68" s="4" t="s">
        <v>55</v>
      </c>
      <c r="B68" s="4"/>
      <c r="C68" s="4" t="s">
        <v>134</v>
      </c>
      <c r="D68" s="4" t="s">
        <v>216</v>
      </c>
      <c r="E68" s="4" t="s">
        <v>252</v>
      </c>
      <c r="F68" s="17">
        <v>1</v>
      </c>
      <c r="G68" s="17">
        <v>3500</v>
      </c>
      <c r="H68" s="17">
        <f aca="true" t="shared" si="42" ref="H68:H73">F68*AE68</f>
        <v>67.86689701149085</v>
      </c>
      <c r="I68" s="17">
        <f aca="true" t="shared" si="43" ref="I68:I73">J68-H68</f>
        <v>3432.133102988509</v>
      </c>
      <c r="J68" s="17">
        <f aca="true" t="shared" si="44" ref="J68:J73">F68*G68</f>
        <v>3500</v>
      </c>
      <c r="K68" s="17">
        <v>0</v>
      </c>
      <c r="L68" s="17">
        <f aca="true" t="shared" si="45" ref="L68:L73">F68*K68</f>
        <v>0</v>
      </c>
      <c r="M68" s="29" t="s">
        <v>271</v>
      </c>
      <c r="P68" s="34">
        <f aca="true" t="shared" si="46" ref="P68:P73">IF(AG68="5",J68,0)</f>
        <v>0</v>
      </c>
      <c r="R68" s="34">
        <f aca="true" t="shared" si="47" ref="R68:R73">IF(AG68="1",H68,0)</f>
        <v>0</v>
      </c>
      <c r="S68" s="34">
        <f aca="true" t="shared" si="48" ref="S68:S73">IF(AG68="1",I68,0)</f>
        <v>0</v>
      </c>
      <c r="T68" s="34">
        <f aca="true" t="shared" si="49" ref="T68:T73">IF(AG68="7",H68,0)</f>
        <v>67.86689701149085</v>
      </c>
      <c r="U68" s="34">
        <f aca="true" t="shared" si="50" ref="U68:U73">IF(AG68="7",I68,0)</f>
        <v>3432.133102988509</v>
      </c>
      <c r="V68" s="34">
        <f aca="true" t="shared" si="51" ref="V68:V73">IF(AG68="2",H68,0)</f>
        <v>0</v>
      </c>
      <c r="W68" s="34">
        <f aca="true" t="shared" si="52" ref="W68:W73">IF(AG68="2",I68,0)</f>
        <v>0</v>
      </c>
      <c r="X68" s="34">
        <f aca="true" t="shared" si="53" ref="X68:X73">IF(AG68="0",J68,0)</f>
        <v>0</v>
      </c>
      <c r="Y68" s="26"/>
      <c r="Z68" s="17">
        <f aca="true" t="shared" si="54" ref="Z68:Z73">IF(AD68=0,J68,0)</f>
        <v>0</v>
      </c>
      <c r="AA68" s="17">
        <f aca="true" t="shared" si="55" ref="AA68:AA73">IF(AD68=15,J68,0)</f>
        <v>0</v>
      </c>
      <c r="AB68" s="17">
        <f aca="true" t="shared" si="56" ref="AB68:AB73">IF(AD68=21,J68,0)</f>
        <v>3500</v>
      </c>
      <c r="AD68" s="34">
        <v>21</v>
      </c>
      <c r="AE68" s="34">
        <f>G68*0.0193905420032831</f>
        <v>67.86689701149085</v>
      </c>
      <c r="AF68" s="34">
        <f>G68*(1-0.0193905420032831)</f>
        <v>3432.133102988509</v>
      </c>
      <c r="AG68" s="29" t="s">
        <v>13</v>
      </c>
      <c r="AM68" s="34">
        <f aca="true" t="shared" si="57" ref="AM68:AM73">F68*AE68</f>
        <v>67.86689701149085</v>
      </c>
      <c r="AN68" s="34">
        <f aca="true" t="shared" si="58" ref="AN68:AN73">F68*AF68</f>
        <v>3432.133102988509</v>
      </c>
      <c r="AO68" s="35" t="s">
        <v>288</v>
      </c>
      <c r="AP68" s="35" t="s">
        <v>298</v>
      </c>
      <c r="AQ68" s="26" t="s">
        <v>300</v>
      </c>
      <c r="AS68" s="34">
        <f aca="true" t="shared" si="59" ref="AS68:AS73">AM68+AN68</f>
        <v>3500</v>
      </c>
      <c r="AT68" s="34">
        <f aca="true" t="shared" si="60" ref="AT68:AT73">G68/(100-AU68)*100</f>
        <v>3500</v>
      </c>
      <c r="AU68" s="34">
        <v>0</v>
      </c>
      <c r="AV68" s="34">
        <f aca="true" t="shared" si="61" ref="AV68:AV73">L68</f>
        <v>0</v>
      </c>
    </row>
    <row r="69" spans="1:48" ht="12.75">
      <c r="A69" s="4" t="s">
        <v>56</v>
      </c>
      <c r="B69" s="4"/>
      <c r="C69" s="4" t="s">
        <v>135</v>
      </c>
      <c r="D69" s="4" t="s">
        <v>217</v>
      </c>
      <c r="E69" s="4" t="s">
        <v>248</v>
      </c>
      <c r="F69" s="17">
        <v>86</v>
      </c>
      <c r="G69" s="17">
        <v>210</v>
      </c>
      <c r="H69" s="17">
        <f t="shared" si="42"/>
        <v>773.3801801801798</v>
      </c>
      <c r="I69" s="17">
        <f t="shared" si="43"/>
        <v>17286.61981981982</v>
      </c>
      <c r="J69" s="17">
        <f t="shared" si="44"/>
        <v>18060</v>
      </c>
      <c r="K69" s="17">
        <v>0.00028</v>
      </c>
      <c r="L69" s="17">
        <f t="shared" si="45"/>
        <v>0.024079999999999997</v>
      </c>
      <c r="M69" s="29" t="s">
        <v>271</v>
      </c>
      <c r="P69" s="34">
        <f t="shared" si="46"/>
        <v>0</v>
      </c>
      <c r="R69" s="34">
        <f t="shared" si="47"/>
        <v>0</v>
      </c>
      <c r="S69" s="34">
        <f t="shared" si="48"/>
        <v>0</v>
      </c>
      <c r="T69" s="34">
        <f t="shared" si="49"/>
        <v>773.3801801801798</v>
      </c>
      <c r="U69" s="34">
        <f t="shared" si="50"/>
        <v>17286.61981981982</v>
      </c>
      <c r="V69" s="34">
        <f t="shared" si="51"/>
        <v>0</v>
      </c>
      <c r="W69" s="34">
        <f t="shared" si="52"/>
        <v>0</v>
      </c>
      <c r="X69" s="34">
        <f t="shared" si="53"/>
        <v>0</v>
      </c>
      <c r="Y69" s="26"/>
      <c r="Z69" s="17">
        <f t="shared" si="54"/>
        <v>0</v>
      </c>
      <c r="AA69" s="17">
        <f t="shared" si="55"/>
        <v>0</v>
      </c>
      <c r="AB69" s="17">
        <f t="shared" si="56"/>
        <v>18060</v>
      </c>
      <c r="AD69" s="34">
        <v>21</v>
      </c>
      <c r="AE69" s="34">
        <f>G69*0.0428228228228228</f>
        <v>8.992792792792788</v>
      </c>
      <c r="AF69" s="34">
        <f>G69*(1-0.0428228228228228)</f>
        <v>201.00720720720722</v>
      </c>
      <c r="AG69" s="29" t="s">
        <v>13</v>
      </c>
      <c r="AM69" s="34">
        <f t="shared" si="57"/>
        <v>773.3801801801798</v>
      </c>
      <c r="AN69" s="34">
        <f t="shared" si="58"/>
        <v>17286.61981981982</v>
      </c>
      <c r="AO69" s="35" t="s">
        <v>288</v>
      </c>
      <c r="AP69" s="35" t="s">
        <v>298</v>
      </c>
      <c r="AQ69" s="26" t="s">
        <v>300</v>
      </c>
      <c r="AS69" s="34">
        <f t="shared" si="59"/>
        <v>18060</v>
      </c>
      <c r="AT69" s="34">
        <f t="shared" si="60"/>
        <v>210</v>
      </c>
      <c r="AU69" s="34">
        <v>0</v>
      </c>
      <c r="AV69" s="34">
        <f t="shared" si="61"/>
        <v>0.024079999999999997</v>
      </c>
    </row>
    <row r="70" spans="1:48" ht="12.75">
      <c r="A70" s="4" t="s">
        <v>57</v>
      </c>
      <c r="B70" s="4"/>
      <c r="C70" s="4" t="s">
        <v>136</v>
      </c>
      <c r="D70" s="4" t="s">
        <v>218</v>
      </c>
      <c r="E70" s="4" t="s">
        <v>249</v>
      </c>
      <c r="F70" s="17">
        <v>344</v>
      </c>
      <c r="G70" s="17">
        <v>100</v>
      </c>
      <c r="H70" s="17">
        <f t="shared" si="42"/>
        <v>6284.366373902135</v>
      </c>
      <c r="I70" s="17">
        <f t="shared" si="43"/>
        <v>28115.633626097864</v>
      </c>
      <c r="J70" s="17">
        <f t="shared" si="44"/>
        <v>34400</v>
      </c>
      <c r="K70" s="17">
        <v>0.00028</v>
      </c>
      <c r="L70" s="17">
        <f t="shared" si="45"/>
        <v>0.09631999999999999</v>
      </c>
      <c r="M70" s="29" t="s">
        <v>271</v>
      </c>
      <c r="P70" s="34">
        <f t="shared" si="46"/>
        <v>0</v>
      </c>
      <c r="R70" s="34">
        <f t="shared" si="47"/>
        <v>0</v>
      </c>
      <c r="S70" s="34">
        <f t="shared" si="48"/>
        <v>0</v>
      </c>
      <c r="T70" s="34">
        <f t="shared" si="49"/>
        <v>6284.366373902135</v>
      </c>
      <c r="U70" s="34">
        <f t="shared" si="50"/>
        <v>28115.633626097864</v>
      </c>
      <c r="V70" s="34">
        <f t="shared" si="51"/>
        <v>0</v>
      </c>
      <c r="W70" s="34">
        <f t="shared" si="52"/>
        <v>0</v>
      </c>
      <c r="X70" s="34">
        <f t="shared" si="53"/>
        <v>0</v>
      </c>
      <c r="Y70" s="26"/>
      <c r="Z70" s="17">
        <f t="shared" si="54"/>
        <v>0</v>
      </c>
      <c r="AA70" s="17">
        <f t="shared" si="55"/>
        <v>0</v>
      </c>
      <c r="AB70" s="17">
        <f t="shared" si="56"/>
        <v>34400</v>
      </c>
      <c r="AD70" s="34">
        <v>21</v>
      </c>
      <c r="AE70" s="34">
        <f>G70*0.182685069008783</f>
        <v>18.2685069008783</v>
      </c>
      <c r="AF70" s="34">
        <f>G70*(1-0.182685069008783)</f>
        <v>81.73149309912169</v>
      </c>
      <c r="AG70" s="29" t="s">
        <v>13</v>
      </c>
      <c r="AM70" s="34">
        <f t="shared" si="57"/>
        <v>6284.366373902135</v>
      </c>
      <c r="AN70" s="34">
        <f t="shared" si="58"/>
        <v>28115.63362609786</v>
      </c>
      <c r="AO70" s="35" t="s">
        <v>288</v>
      </c>
      <c r="AP70" s="35" t="s">
        <v>298</v>
      </c>
      <c r="AQ70" s="26" t="s">
        <v>300</v>
      </c>
      <c r="AS70" s="34">
        <f t="shared" si="59"/>
        <v>34399.99999999999</v>
      </c>
      <c r="AT70" s="34">
        <f t="shared" si="60"/>
        <v>100</v>
      </c>
      <c r="AU70" s="34">
        <v>0</v>
      </c>
      <c r="AV70" s="34">
        <f t="shared" si="61"/>
        <v>0.09631999999999999</v>
      </c>
    </row>
    <row r="71" spans="1:48" ht="12.75">
      <c r="A71" s="4" t="s">
        <v>58</v>
      </c>
      <c r="B71" s="4"/>
      <c r="C71" s="4" t="s">
        <v>137</v>
      </c>
      <c r="D71" s="4" t="s">
        <v>219</v>
      </c>
      <c r="E71" s="4" t="s">
        <v>251</v>
      </c>
      <c r="F71" s="17">
        <v>1.9319</v>
      </c>
      <c r="G71" s="17">
        <v>2500</v>
      </c>
      <c r="H71" s="17">
        <f t="shared" si="42"/>
        <v>0</v>
      </c>
      <c r="I71" s="17">
        <f t="shared" si="43"/>
        <v>4829.75</v>
      </c>
      <c r="J71" s="17">
        <f t="shared" si="44"/>
        <v>4829.75</v>
      </c>
      <c r="K71" s="17">
        <v>0</v>
      </c>
      <c r="L71" s="17">
        <f t="shared" si="45"/>
        <v>0</v>
      </c>
      <c r="M71" s="29" t="s">
        <v>271</v>
      </c>
      <c r="P71" s="34">
        <f t="shared" si="46"/>
        <v>4829.75</v>
      </c>
      <c r="R71" s="34">
        <f t="shared" si="47"/>
        <v>0</v>
      </c>
      <c r="S71" s="34">
        <f t="shared" si="48"/>
        <v>0</v>
      </c>
      <c r="T71" s="34">
        <f t="shared" si="49"/>
        <v>0</v>
      </c>
      <c r="U71" s="34">
        <f t="shared" si="50"/>
        <v>0</v>
      </c>
      <c r="V71" s="34">
        <f t="shared" si="51"/>
        <v>0</v>
      </c>
      <c r="W71" s="34">
        <f t="shared" si="52"/>
        <v>0</v>
      </c>
      <c r="X71" s="34">
        <f t="shared" si="53"/>
        <v>0</v>
      </c>
      <c r="Y71" s="26"/>
      <c r="Z71" s="17">
        <f t="shared" si="54"/>
        <v>0</v>
      </c>
      <c r="AA71" s="17">
        <f t="shared" si="55"/>
        <v>0</v>
      </c>
      <c r="AB71" s="17">
        <f t="shared" si="56"/>
        <v>4829.75</v>
      </c>
      <c r="AD71" s="34">
        <v>21</v>
      </c>
      <c r="AE71" s="34">
        <f>G71*0</f>
        <v>0</v>
      </c>
      <c r="AF71" s="34">
        <f>G71*(1-0)</f>
        <v>2500</v>
      </c>
      <c r="AG71" s="29" t="s">
        <v>11</v>
      </c>
      <c r="AM71" s="34">
        <f t="shared" si="57"/>
        <v>0</v>
      </c>
      <c r="AN71" s="34">
        <f t="shared" si="58"/>
        <v>4829.75</v>
      </c>
      <c r="AO71" s="35" t="s">
        <v>288</v>
      </c>
      <c r="AP71" s="35" t="s">
        <v>298</v>
      </c>
      <c r="AQ71" s="26" t="s">
        <v>300</v>
      </c>
      <c r="AS71" s="34">
        <f t="shared" si="59"/>
        <v>4829.75</v>
      </c>
      <c r="AT71" s="34">
        <f t="shared" si="60"/>
        <v>2500</v>
      </c>
      <c r="AU71" s="34">
        <v>0</v>
      </c>
      <c r="AV71" s="34">
        <f t="shared" si="61"/>
        <v>0</v>
      </c>
    </row>
    <row r="72" spans="1:48" ht="12.75">
      <c r="A72" s="6" t="s">
        <v>59</v>
      </c>
      <c r="B72" s="6"/>
      <c r="C72" s="6" t="s">
        <v>138</v>
      </c>
      <c r="D72" s="6" t="s">
        <v>220</v>
      </c>
      <c r="E72" s="6" t="s">
        <v>252</v>
      </c>
      <c r="F72" s="18">
        <v>1</v>
      </c>
      <c r="G72" s="18">
        <v>15000</v>
      </c>
      <c r="H72" s="18">
        <f t="shared" si="42"/>
        <v>15000</v>
      </c>
      <c r="I72" s="18">
        <f t="shared" si="43"/>
        <v>0</v>
      </c>
      <c r="J72" s="18">
        <f t="shared" si="44"/>
        <v>15000</v>
      </c>
      <c r="K72" s="18">
        <v>0.035</v>
      </c>
      <c r="L72" s="18">
        <f t="shared" si="45"/>
        <v>0.035</v>
      </c>
      <c r="M72" s="30" t="s">
        <v>271</v>
      </c>
      <c r="P72" s="34">
        <f t="shared" si="46"/>
        <v>0</v>
      </c>
      <c r="R72" s="34">
        <f t="shared" si="47"/>
        <v>0</v>
      </c>
      <c r="S72" s="34">
        <f t="shared" si="48"/>
        <v>0</v>
      </c>
      <c r="T72" s="34">
        <f t="shared" si="49"/>
        <v>15000</v>
      </c>
      <c r="U72" s="34">
        <f t="shared" si="50"/>
        <v>0</v>
      </c>
      <c r="V72" s="34">
        <f t="shared" si="51"/>
        <v>0</v>
      </c>
      <c r="W72" s="34">
        <f t="shared" si="52"/>
        <v>0</v>
      </c>
      <c r="X72" s="34">
        <f t="shared" si="53"/>
        <v>0</v>
      </c>
      <c r="Y72" s="26"/>
      <c r="Z72" s="18">
        <f t="shared" si="54"/>
        <v>0</v>
      </c>
      <c r="AA72" s="18">
        <f t="shared" si="55"/>
        <v>0</v>
      </c>
      <c r="AB72" s="18">
        <f t="shared" si="56"/>
        <v>15000</v>
      </c>
      <c r="AD72" s="34">
        <v>21</v>
      </c>
      <c r="AE72" s="34">
        <f>G72*1</f>
        <v>15000</v>
      </c>
      <c r="AF72" s="34">
        <f>G72*(1-1)</f>
        <v>0</v>
      </c>
      <c r="AG72" s="30" t="s">
        <v>13</v>
      </c>
      <c r="AM72" s="34">
        <f t="shared" si="57"/>
        <v>15000</v>
      </c>
      <c r="AN72" s="34">
        <f t="shared" si="58"/>
        <v>0</v>
      </c>
      <c r="AO72" s="35" t="s">
        <v>288</v>
      </c>
      <c r="AP72" s="35" t="s">
        <v>298</v>
      </c>
      <c r="AQ72" s="26" t="s">
        <v>300</v>
      </c>
      <c r="AS72" s="34">
        <f t="shared" si="59"/>
        <v>15000</v>
      </c>
      <c r="AT72" s="34">
        <f t="shared" si="60"/>
        <v>15000</v>
      </c>
      <c r="AU72" s="34">
        <v>0</v>
      </c>
      <c r="AV72" s="34">
        <f t="shared" si="61"/>
        <v>0.035</v>
      </c>
    </row>
    <row r="73" spans="1:48" ht="12.75">
      <c r="A73" s="6" t="s">
        <v>60</v>
      </c>
      <c r="B73" s="6"/>
      <c r="C73" s="6" t="s">
        <v>139</v>
      </c>
      <c r="D73" s="6" t="s">
        <v>221</v>
      </c>
      <c r="E73" s="6" t="s">
        <v>248</v>
      </c>
      <c r="F73" s="18">
        <v>89.44</v>
      </c>
      <c r="G73" s="18">
        <v>200</v>
      </c>
      <c r="H73" s="18">
        <f t="shared" si="42"/>
        <v>17888</v>
      </c>
      <c r="I73" s="18">
        <f t="shared" si="43"/>
        <v>0</v>
      </c>
      <c r="J73" s="18">
        <f t="shared" si="44"/>
        <v>17888</v>
      </c>
      <c r="K73" s="18">
        <v>0.0216</v>
      </c>
      <c r="L73" s="18">
        <f t="shared" si="45"/>
        <v>1.931904</v>
      </c>
      <c r="M73" s="30" t="s">
        <v>271</v>
      </c>
      <c r="P73" s="34">
        <f t="shared" si="46"/>
        <v>0</v>
      </c>
      <c r="R73" s="34">
        <f t="shared" si="47"/>
        <v>0</v>
      </c>
      <c r="S73" s="34">
        <f t="shared" si="48"/>
        <v>0</v>
      </c>
      <c r="T73" s="34">
        <f t="shared" si="49"/>
        <v>17888</v>
      </c>
      <c r="U73" s="34">
        <f t="shared" si="50"/>
        <v>0</v>
      </c>
      <c r="V73" s="34">
        <f t="shared" si="51"/>
        <v>0</v>
      </c>
      <c r="W73" s="34">
        <f t="shared" si="52"/>
        <v>0</v>
      </c>
      <c r="X73" s="34">
        <f t="shared" si="53"/>
        <v>0</v>
      </c>
      <c r="Y73" s="26"/>
      <c r="Z73" s="18">
        <f t="shared" si="54"/>
        <v>0</v>
      </c>
      <c r="AA73" s="18">
        <f t="shared" si="55"/>
        <v>0</v>
      </c>
      <c r="AB73" s="18">
        <f t="shared" si="56"/>
        <v>17888</v>
      </c>
      <c r="AD73" s="34">
        <v>21</v>
      </c>
      <c r="AE73" s="34">
        <f>G73*1</f>
        <v>200</v>
      </c>
      <c r="AF73" s="34">
        <f>G73*(1-1)</f>
        <v>0</v>
      </c>
      <c r="AG73" s="30" t="s">
        <v>13</v>
      </c>
      <c r="AM73" s="34">
        <f t="shared" si="57"/>
        <v>17888</v>
      </c>
      <c r="AN73" s="34">
        <f t="shared" si="58"/>
        <v>0</v>
      </c>
      <c r="AO73" s="35" t="s">
        <v>288</v>
      </c>
      <c r="AP73" s="35" t="s">
        <v>298</v>
      </c>
      <c r="AQ73" s="26" t="s">
        <v>300</v>
      </c>
      <c r="AS73" s="34">
        <f t="shared" si="59"/>
        <v>17888</v>
      </c>
      <c r="AT73" s="34">
        <f t="shared" si="60"/>
        <v>200</v>
      </c>
      <c r="AU73" s="34">
        <v>0</v>
      </c>
      <c r="AV73" s="34">
        <f t="shared" si="61"/>
        <v>1.931904</v>
      </c>
    </row>
    <row r="74" spans="1:37" ht="12.75">
      <c r="A74" s="5"/>
      <c r="B74" s="13"/>
      <c r="C74" s="13" t="s">
        <v>140</v>
      </c>
      <c r="D74" s="94" t="s">
        <v>222</v>
      </c>
      <c r="E74" s="95"/>
      <c r="F74" s="95"/>
      <c r="G74" s="95"/>
      <c r="H74" s="37">
        <f>SUM(H75:H76)</f>
        <v>0</v>
      </c>
      <c r="I74" s="37">
        <f>SUM(I75:I76)</f>
        <v>10000</v>
      </c>
      <c r="J74" s="37">
        <f>H74+I74</f>
        <v>10000</v>
      </c>
      <c r="K74" s="26"/>
      <c r="L74" s="37">
        <f>SUM(L75:L76)</f>
        <v>0</v>
      </c>
      <c r="M74" s="26"/>
      <c r="Y74" s="26"/>
      <c r="AI74" s="37">
        <f>SUM(Z75:Z76)</f>
        <v>0</v>
      </c>
      <c r="AJ74" s="37">
        <f>SUM(AA75:AA76)</f>
        <v>0</v>
      </c>
      <c r="AK74" s="37">
        <f>SUM(AB75:AB76)</f>
        <v>10000</v>
      </c>
    </row>
    <row r="75" spans="1:48" ht="12.75">
      <c r="A75" s="4" t="s">
        <v>61</v>
      </c>
      <c r="B75" s="4"/>
      <c r="C75" s="4" t="s">
        <v>141</v>
      </c>
      <c r="D75" s="4" t="s">
        <v>223</v>
      </c>
      <c r="E75" s="4" t="s">
        <v>254</v>
      </c>
      <c r="F75" s="17">
        <v>1</v>
      </c>
      <c r="G75" s="17">
        <v>5000</v>
      </c>
      <c r="H75" s="17">
        <f>F75*AE75</f>
        <v>0</v>
      </c>
      <c r="I75" s="17">
        <f>J75-H75</f>
        <v>5000</v>
      </c>
      <c r="J75" s="17">
        <f>F75*G75</f>
        <v>5000</v>
      </c>
      <c r="K75" s="17">
        <v>0</v>
      </c>
      <c r="L75" s="17">
        <f>F75*K75</f>
        <v>0</v>
      </c>
      <c r="M75" s="29" t="s">
        <v>271</v>
      </c>
      <c r="P75" s="34">
        <f>IF(AG75="5",J75,0)</f>
        <v>0</v>
      </c>
      <c r="R75" s="34">
        <f>IF(AG75="1",H75,0)</f>
        <v>0</v>
      </c>
      <c r="S75" s="34">
        <f>IF(AG75="1",I75,0)</f>
        <v>5000</v>
      </c>
      <c r="T75" s="34">
        <f>IF(AG75="7",H75,0)</f>
        <v>0</v>
      </c>
      <c r="U75" s="34">
        <f>IF(AG75="7",I75,0)</f>
        <v>0</v>
      </c>
      <c r="V75" s="34">
        <f>IF(AG75="2",H75,0)</f>
        <v>0</v>
      </c>
      <c r="W75" s="34">
        <f>IF(AG75="2",I75,0)</f>
        <v>0</v>
      </c>
      <c r="X75" s="34">
        <f>IF(AG75="0",J75,0)</f>
        <v>0</v>
      </c>
      <c r="Y75" s="26"/>
      <c r="Z75" s="17">
        <f>IF(AD75=0,J75,0)</f>
        <v>0</v>
      </c>
      <c r="AA75" s="17">
        <f>IF(AD75=15,J75,0)</f>
        <v>0</v>
      </c>
      <c r="AB75" s="17">
        <f>IF(AD75=21,J75,0)</f>
        <v>5000</v>
      </c>
      <c r="AD75" s="34">
        <v>21</v>
      </c>
      <c r="AE75" s="34">
        <f>G75*0</f>
        <v>0</v>
      </c>
      <c r="AF75" s="34">
        <f>G75*(1-0)</f>
        <v>5000</v>
      </c>
      <c r="AG75" s="29" t="s">
        <v>7</v>
      </c>
      <c r="AM75" s="34">
        <f>F75*AE75</f>
        <v>0</v>
      </c>
      <c r="AN75" s="34">
        <f>F75*AF75</f>
        <v>5000</v>
      </c>
      <c r="AO75" s="35" t="s">
        <v>289</v>
      </c>
      <c r="AP75" s="35" t="s">
        <v>299</v>
      </c>
      <c r="AQ75" s="26" t="s">
        <v>300</v>
      </c>
      <c r="AS75" s="34">
        <f>AM75+AN75</f>
        <v>5000</v>
      </c>
      <c r="AT75" s="34">
        <f>G75/(100-AU75)*100</f>
        <v>5000</v>
      </c>
      <c r="AU75" s="34">
        <v>0</v>
      </c>
      <c r="AV75" s="34">
        <f>L75</f>
        <v>0</v>
      </c>
    </row>
    <row r="76" spans="1:48" ht="12.75">
      <c r="A76" s="4" t="s">
        <v>62</v>
      </c>
      <c r="B76" s="4"/>
      <c r="C76" s="4" t="s">
        <v>142</v>
      </c>
      <c r="D76" s="4" t="s">
        <v>224</v>
      </c>
      <c r="E76" s="4" t="s">
        <v>254</v>
      </c>
      <c r="F76" s="17">
        <v>1</v>
      </c>
      <c r="G76" s="17">
        <v>5000</v>
      </c>
      <c r="H76" s="17">
        <f>F76*AE76</f>
        <v>0</v>
      </c>
      <c r="I76" s="17">
        <f>J76-H76</f>
        <v>5000</v>
      </c>
      <c r="J76" s="17">
        <f>F76*G76</f>
        <v>5000</v>
      </c>
      <c r="K76" s="17">
        <v>0</v>
      </c>
      <c r="L76" s="17">
        <f>F76*K76</f>
        <v>0</v>
      </c>
      <c r="M76" s="29" t="s">
        <v>271</v>
      </c>
      <c r="P76" s="34">
        <f>IF(AG76="5",J76,0)</f>
        <v>0</v>
      </c>
      <c r="R76" s="34">
        <f>IF(AG76="1",H76,0)</f>
        <v>0</v>
      </c>
      <c r="S76" s="34">
        <f>IF(AG76="1",I76,0)</f>
        <v>5000</v>
      </c>
      <c r="T76" s="34">
        <f>IF(AG76="7",H76,0)</f>
        <v>0</v>
      </c>
      <c r="U76" s="34">
        <f>IF(AG76="7",I76,0)</f>
        <v>0</v>
      </c>
      <c r="V76" s="34">
        <f>IF(AG76="2",H76,0)</f>
        <v>0</v>
      </c>
      <c r="W76" s="34">
        <f>IF(AG76="2",I76,0)</f>
        <v>0</v>
      </c>
      <c r="X76" s="34">
        <f>IF(AG76="0",J76,0)</f>
        <v>0</v>
      </c>
      <c r="Y76" s="26"/>
      <c r="Z76" s="17">
        <f>IF(AD76=0,J76,0)</f>
        <v>0</v>
      </c>
      <c r="AA76" s="17">
        <f>IF(AD76=15,J76,0)</f>
        <v>0</v>
      </c>
      <c r="AB76" s="17">
        <f>IF(AD76=21,J76,0)</f>
        <v>5000</v>
      </c>
      <c r="AD76" s="34">
        <v>21</v>
      </c>
      <c r="AE76" s="34">
        <f>G76*0</f>
        <v>0</v>
      </c>
      <c r="AF76" s="34">
        <f>G76*(1-0)</f>
        <v>5000</v>
      </c>
      <c r="AG76" s="29" t="s">
        <v>7</v>
      </c>
      <c r="AM76" s="34">
        <f>F76*AE76</f>
        <v>0</v>
      </c>
      <c r="AN76" s="34">
        <f>F76*AF76</f>
        <v>5000</v>
      </c>
      <c r="AO76" s="35" t="s">
        <v>289</v>
      </c>
      <c r="AP76" s="35" t="s">
        <v>299</v>
      </c>
      <c r="AQ76" s="26" t="s">
        <v>300</v>
      </c>
      <c r="AS76" s="34">
        <f>AM76+AN76</f>
        <v>5000</v>
      </c>
      <c r="AT76" s="34">
        <f>G76/(100-AU76)*100</f>
        <v>5000</v>
      </c>
      <c r="AU76" s="34">
        <v>0</v>
      </c>
      <c r="AV76" s="34">
        <f>L76</f>
        <v>0</v>
      </c>
    </row>
    <row r="77" spans="1:37" ht="12.75">
      <c r="A77" s="5"/>
      <c r="B77" s="13"/>
      <c r="C77" s="13" t="s">
        <v>143</v>
      </c>
      <c r="D77" s="94" t="s">
        <v>225</v>
      </c>
      <c r="E77" s="95"/>
      <c r="F77" s="95"/>
      <c r="G77" s="95"/>
      <c r="H77" s="37">
        <f>SUM(H78:H80)</f>
        <v>4033.547758806481</v>
      </c>
      <c r="I77" s="37">
        <f>SUM(I78:I80)</f>
        <v>26066.452241193518</v>
      </c>
      <c r="J77" s="37">
        <f>H77+I77</f>
        <v>30100</v>
      </c>
      <c r="K77" s="26"/>
      <c r="L77" s="37">
        <f>SUM(L78:L80)</f>
        <v>8.2689</v>
      </c>
      <c r="M77" s="26"/>
      <c r="Y77" s="26"/>
      <c r="AI77" s="37">
        <f>SUM(Z78:Z80)</f>
        <v>0</v>
      </c>
      <c r="AJ77" s="37">
        <f>SUM(AA78:AA80)</f>
        <v>0</v>
      </c>
      <c r="AK77" s="37">
        <f>SUM(AB78:AB80)</f>
        <v>30100</v>
      </c>
    </row>
    <row r="78" spans="1:48" ht="12.75">
      <c r="A78" s="4" t="s">
        <v>63</v>
      </c>
      <c r="B78" s="4"/>
      <c r="C78" s="4" t="s">
        <v>144</v>
      </c>
      <c r="D78" s="4" t="s">
        <v>226</v>
      </c>
      <c r="E78" s="4" t="s">
        <v>248</v>
      </c>
      <c r="F78" s="17">
        <v>430</v>
      </c>
      <c r="G78" s="17">
        <v>30</v>
      </c>
      <c r="H78" s="17">
        <f>F78*AE78</f>
        <v>8.113207547169813</v>
      </c>
      <c r="I78" s="17">
        <f>J78-H78</f>
        <v>12891.88679245283</v>
      </c>
      <c r="J78" s="17">
        <f>F78*G78</f>
        <v>12900</v>
      </c>
      <c r="K78" s="17">
        <v>0.01838</v>
      </c>
      <c r="L78" s="17">
        <f>F78*K78</f>
        <v>7.9034</v>
      </c>
      <c r="M78" s="29" t="s">
        <v>271</v>
      </c>
      <c r="P78" s="34">
        <f>IF(AG78="5",J78,0)</f>
        <v>0</v>
      </c>
      <c r="R78" s="34">
        <f>IF(AG78="1",H78,0)</f>
        <v>8.113207547169813</v>
      </c>
      <c r="S78" s="34">
        <f>IF(AG78="1",I78,0)</f>
        <v>12891.88679245283</v>
      </c>
      <c r="T78" s="34">
        <f>IF(AG78="7",H78,0)</f>
        <v>0</v>
      </c>
      <c r="U78" s="34">
        <f>IF(AG78="7",I78,0)</f>
        <v>0</v>
      </c>
      <c r="V78" s="34">
        <f>IF(AG78="2",H78,0)</f>
        <v>0</v>
      </c>
      <c r="W78" s="34">
        <f>IF(AG78="2",I78,0)</f>
        <v>0</v>
      </c>
      <c r="X78" s="34">
        <f>IF(AG78="0",J78,0)</f>
        <v>0</v>
      </c>
      <c r="Y78" s="26"/>
      <c r="Z78" s="17">
        <f>IF(AD78=0,J78,0)</f>
        <v>0</v>
      </c>
      <c r="AA78" s="17">
        <f>IF(AD78=15,J78,0)</f>
        <v>0</v>
      </c>
      <c r="AB78" s="17">
        <f>IF(AD78=21,J78,0)</f>
        <v>12900</v>
      </c>
      <c r="AD78" s="34">
        <v>21</v>
      </c>
      <c r="AE78" s="34">
        <f>G78*0.000628930817610063</f>
        <v>0.01886792452830189</v>
      </c>
      <c r="AF78" s="34">
        <f>G78*(1-0.000628930817610063)</f>
        <v>29.9811320754717</v>
      </c>
      <c r="AG78" s="29" t="s">
        <v>7</v>
      </c>
      <c r="AM78" s="34">
        <f>F78*AE78</f>
        <v>8.113207547169813</v>
      </c>
      <c r="AN78" s="34">
        <f>F78*AF78</f>
        <v>12891.886792452831</v>
      </c>
      <c r="AO78" s="35" t="s">
        <v>290</v>
      </c>
      <c r="AP78" s="35" t="s">
        <v>299</v>
      </c>
      <c r="AQ78" s="26" t="s">
        <v>300</v>
      </c>
      <c r="AS78" s="34">
        <f>AM78+AN78</f>
        <v>12900.000000000002</v>
      </c>
      <c r="AT78" s="34">
        <f>G78/(100-AU78)*100</f>
        <v>30</v>
      </c>
      <c r="AU78" s="34">
        <v>0</v>
      </c>
      <c r="AV78" s="34">
        <f>L78</f>
        <v>7.9034</v>
      </c>
    </row>
    <row r="79" spans="1:48" ht="12.75">
      <c r="A79" s="4" t="s">
        <v>64</v>
      </c>
      <c r="B79" s="4"/>
      <c r="C79" s="4" t="s">
        <v>145</v>
      </c>
      <c r="D79" s="4" t="s">
        <v>227</v>
      </c>
      <c r="E79" s="4" t="s">
        <v>248</v>
      </c>
      <c r="F79" s="17">
        <v>430</v>
      </c>
      <c r="G79" s="17">
        <v>10</v>
      </c>
      <c r="H79" s="17">
        <f>F79*AE79</f>
        <v>4025.4345512593113</v>
      </c>
      <c r="I79" s="17">
        <f>J79-H79</f>
        <v>274.5654487406887</v>
      </c>
      <c r="J79" s="17">
        <f>F79*G79</f>
        <v>4300</v>
      </c>
      <c r="K79" s="17">
        <v>0.00085</v>
      </c>
      <c r="L79" s="17">
        <f>F79*K79</f>
        <v>0.3655</v>
      </c>
      <c r="M79" s="29" t="s">
        <v>271</v>
      </c>
      <c r="P79" s="34">
        <f>IF(AG79="5",J79,0)</f>
        <v>0</v>
      </c>
      <c r="R79" s="34">
        <f>IF(AG79="1",H79,0)</f>
        <v>4025.4345512593113</v>
      </c>
      <c r="S79" s="34">
        <f>IF(AG79="1",I79,0)</f>
        <v>274.5654487406887</v>
      </c>
      <c r="T79" s="34">
        <f>IF(AG79="7",H79,0)</f>
        <v>0</v>
      </c>
      <c r="U79" s="34">
        <f>IF(AG79="7",I79,0)</f>
        <v>0</v>
      </c>
      <c r="V79" s="34">
        <f>IF(AG79="2",H79,0)</f>
        <v>0</v>
      </c>
      <c r="W79" s="34">
        <f>IF(AG79="2",I79,0)</f>
        <v>0</v>
      </c>
      <c r="X79" s="34">
        <f>IF(AG79="0",J79,0)</f>
        <v>0</v>
      </c>
      <c r="Y79" s="26"/>
      <c r="Z79" s="17">
        <f>IF(AD79=0,J79,0)</f>
        <v>0</v>
      </c>
      <c r="AA79" s="17">
        <f>IF(AD79=15,J79,0)</f>
        <v>0</v>
      </c>
      <c r="AB79" s="17">
        <f>IF(AD79=21,J79,0)</f>
        <v>4300</v>
      </c>
      <c r="AD79" s="34">
        <v>21</v>
      </c>
      <c r="AE79" s="34">
        <f>G79*0.936147570060305</f>
        <v>9.36147570060305</v>
      </c>
      <c r="AF79" s="34">
        <f>G79*(1-0.936147570060305)</f>
        <v>0.6385242993969498</v>
      </c>
      <c r="AG79" s="29" t="s">
        <v>7</v>
      </c>
      <c r="AM79" s="34">
        <f>F79*AE79</f>
        <v>4025.4345512593113</v>
      </c>
      <c r="AN79" s="34">
        <f>F79*AF79</f>
        <v>274.5654487406884</v>
      </c>
      <c r="AO79" s="35" t="s">
        <v>290</v>
      </c>
      <c r="AP79" s="35" t="s">
        <v>299</v>
      </c>
      <c r="AQ79" s="26" t="s">
        <v>300</v>
      </c>
      <c r="AS79" s="34">
        <f>AM79+AN79</f>
        <v>4300</v>
      </c>
      <c r="AT79" s="34">
        <f>G79/(100-AU79)*100</f>
        <v>10</v>
      </c>
      <c r="AU79" s="34">
        <v>0</v>
      </c>
      <c r="AV79" s="34">
        <f>L79</f>
        <v>0.3655</v>
      </c>
    </row>
    <row r="80" spans="1:48" ht="12.75">
      <c r="A80" s="4" t="s">
        <v>65</v>
      </c>
      <c r="B80" s="4"/>
      <c r="C80" s="4" t="s">
        <v>146</v>
      </c>
      <c r="D80" s="4" t="s">
        <v>228</v>
      </c>
      <c r="E80" s="4" t="s">
        <v>248</v>
      </c>
      <c r="F80" s="17">
        <v>430</v>
      </c>
      <c r="G80" s="17">
        <v>30</v>
      </c>
      <c r="H80" s="17">
        <f>F80*AE80</f>
        <v>0</v>
      </c>
      <c r="I80" s="17">
        <f>J80-H80</f>
        <v>12900</v>
      </c>
      <c r="J80" s="17">
        <f>F80*G80</f>
        <v>12900</v>
      </c>
      <c r="K80" s="17">
        <v>0</v>
      </c>
      <c r="L80" s="17">
        <f>F80*K80</f>
        <v>0</v>
      </c>
      <c r="M80" s="29" t="s">
        <v>271</v>
      </c>
      <c r="P80" s="34">
        <f>IF(AG80="5",J80,0)</f>
        <v>0</v>
      </c>
      <c r="R80" s="34">
        <f>IF(AG80="1",H80,0)</f>
        <v>0</v>
      </c>
      <c r="S80" s="34">
        <f>IF(AG80="1",I80,0)</f>
        <v>12900</v>
      </c>
      <c r="T80" s="34">
        <f>IF(AG80="7",H80,0)</f>
        <v>0</v>
      </c>
      <c r="U80" s="34">
        <f>IF(AG80="7",I80,0)</f>
        <v>0</v>
      </c>
      <c r="V80" s="34">
        <f>IF(AG80="2",H80,0)</f>
        <v>0</v>
      </c>
      <c r="W80" s="34">
        <f>IF(AG80="2",I80,0)</f>
        <v>0</v>
      </c>
      <c r="X80" s="34">
        <f>IF(AG80="0",J80,0)</f>
        <v>0</v>
      </c>
      <c r="Y80" s="26"/>
      <c r="Z80" s="17">
        <f>IF(AD80=0,J80,0)</f>
        <v>0</v>
      </c>
      <c r="AA80" s="17">
        <f>IF(AD80=15,J80,0)</f>
        <v>0</v>
      </c>
      <c r="AB80" s="17">
        <f>IF(AD80=21,J80,0)</f>
        <v>12900</v>
      </c>
      <c r="AD80" s="34">
        <v>21</v>
      </c>
      <c r="AE80" s="34">
        <f>G80*0</f>
        <v>0</v>
      </c>
      <c r="AF80" s="34">
        <f>G80*(1-0)</f>
        <v>30</v>
      </c>
      <c r="AG80" s="29" t="s">
        <v>7</v>
      </c>
      <c r="AM80" s="34">
        <f>F80*AE80</f>
        <v>0</v>
      </c>
      <c r="AN80" s="34">
        <f>F80*AF80</f>
        <v>12900</v>
      </c>
      <c r="AO80" s="35" t="s">
        <v>290</v>
      </c>
      <c r="AP80" s="35" t="s">
        <v>299</v>
      </c>
      <c r="AQ80" s="26" t="s">
        <v>300</v>
      </c>
      <c r="AS80" s="34">
        <f>AM80+AN80</f>
        <v>12900</v>
      </c>
      <c r="AT80" s="34">
        <f>G80/(100-AU80)*100</f>
        <v>30</v>
      </c>
      <c r="AU80" s="34">
        <v>0</v>
      </c>
      <c r="AV80" s="34">
        <f>L80</f>
        <v>0</v>
      </c>
    </row>
    <row r="81" spans="1:37" ht="12.75">
      <c r="A81" s="5"/>
      <c r="B81" s="13"/>
      <c r="C81" s="13" t="s">
        <v>147</v>
      </c>
      <c r="D81" s="94" t="s">
        <v>229</v>
      </c>
      <c r="E81" s="95"/>
      <c r="F81" s="95"/>
      <c r="G81" s="95"/>
      <c r="H81" s="37">
        <f>SUM(H82:H83)</f>
        <v>702.2988679245277</v>
      </c>
      <c r="I81" s="37">
        <f>SUM(I82:I83)</f>
        <v>17825.701132075472</v>
      </c>
      <c r="J81" s="37">
        <f>H81+I81</f>
        <v>18528</v>
      </c>
      <c r="K81" s="26"/>
      <c r="L81" s="37">
        <f>SUM(L82:L83)</f>
        <v>40.7227008</v>
      </c>
      <c r="M81" s="26"/>
      <c r="Y81" s="26"/>
      <c r="AI81" s="37">
        <f>SUM(Z82:Z83)</f>
        <v>0</v>
      </c>
      <c r="AJ81" s="37">
        <f>SUM(AA82:AA83)</f>
        <v>0</v>
      </c>
      <c r="AK81" s="37">
        <f>SUM(AB82:AB83)</f>
        <v>18528</v>
      </c>
    </row>
    <row r="82" spans="1:48" ht="12.75">
      <c r="A82" s="4" t="s">
        <v>66</v>
      </c>
      <c r="B82" s="4"/>
      <c r="C82" s="4" t="s">
        <v>148</v>
      </c>
      <c r="D82" s="4" t="s">
        <v>230</v>
      </c>
      <c r="E82" s="4" t="s">
        <v>250</v>
      </c>
      <c r="F82" s="17">
        <v>18.36</v>
      </c>
      <c r="G82" s="17">
        <v>800</v>
      </c>
      <c r="H82" s="17">
        <f>F82*AE82</f>
        <v>702.2988679245277</v>
      </c>
      <c r="I82" s="17">
        <f>J82-H82</f>
        <v>13985.701132075472</v>
      </c>
      <c r="J82" s="17">
        <f>F82*G82</f>
        <v>14688</v>
      </c>
      <c r="K82" s="17">
        <v>1.80128</v>
      </c>
      <c r="L82" s="17">
        <f>F82*K82</f>
        <v>33.071500799999995</v>
      </c>
      <c r="M82" s="29" t="s">
        <v>271</v>
      </c>
      <c r="P82" s="34">
        <f>IF(AG82="5",J82,0)</f>
        <v>0</v>
      </c>
      <c r="R82" s="34">
        <f>IF(AG82="1",H82,0)</f>
        <v>702.2988679245277</v>
      </c>
      <c r="S82" s="34">
        <f>IF(AG82="1",I82,0)</f>
        <v>13985.701132075472</v>
      </c>
      <c r="T82" s="34">
        <f>IF(AG82="7",H82,0)</f>
        <v>0</v>
      </c>
      <c r="U82" s="34">
        <f>IF(AG82="7",I82,0)</f>
        <v>0</v>
      </c>
      <c r="V82" s="34">
        <f>IF(AG82="2",H82,0)</f>
        <v>0</v>
      </c>
      <c r="W82" s="34">
        <f>IF(AG82="2",I82,0)</f>
        <v>0</v>
      </c>
      <c r="X82" s="34">
        <f>IF(AG82="0",J82,0)</f>
        <v>0</v>
      </c>
      <c r="Y82" s="26"/>
      <c r="Z82" s="17">
        <f>IF(AD82=0,J82,0)</f>
        <v>0</v>
      </c>
      <c r="AA82" s="17">
        <f>IF(AD82=15,J82,0)</f>
        <v>0</v>
      </c>
      <c r="AB82" s="17">
        <f>IF(AD82=21,J82,0)</f>
        <v>14688</v>
      </c>
      <c r="AD82" s="34">
        <v>21</v>
      </c>
      <c r="AE82" s="34">
        <f>G82*0.047814465408805</f>
        <v>38.251572327043995</v>
      </c>
      <c r="AF82" s="34">
        <f>G82*(1-0.047814465408805)</f>
        <v>761.748427672956</v>
      </c>
      <c r="AG82" s="29" t="s">
        <v>7</v>
      </c>
      <c r="AM82" s="34">
        <f>F82*AE82</f>
        <v>702.2988679245277</v>
      </c>
      <c r="AN82" s="34">
        <f>F82*AF82</f>
        <v>13985.701132075472</v>
      </c>
      <c r="AO82" s="35" t="s">
        <v>291</v>
      </c>
      <c r="AP82" s="35" t="s">
        <v>299</v>
      </c>
      <c r="AQ82" s="26" t="s">
        <v>300</v>
      </c>
      <c r="AS82" s="34">
        <f>AM82+AN82</f>
        <v>14688</v>
      </c>
      <c r="AT82" s="34">
        <f>G82/(100-AU82)*100</f>
        <v>800</v>
      </c>
      <c r="AU82" s="34">
        <v>0</v>
      </c>
      <c r="AV82" s="34">
        <f>L82</f>
        <v>33.071500799999995</v>
      </c>
    </row>
    <row r="83" spans="1:48" ht="12.75">
      <c r="A83" s="4" t="s">
        <v>67</v>
      </c>
      <c r="B83" s="4"/>
      <c r="C83" s="4" t="s">
        <v>149</v>
      </c>
      <c r="D83" s="4" t="s">
        <v>231</v>
      </c>
      <c r="E83" s="4" t="s">
        <v>250</v>
      </c>
      <c r="F83" s="17">
        <v>4.8</v>
      </c>
      <c r="G83" s="17">
        <v>800</v>
      </c>
      <c r="H83" s="17">
        <f>F83*AE83</f>
        <v>0</v>
      </c>
      <c r="I83" s="17">
        <f>J83-H83</f>
        <v>3840</v>
      </c>
      <c r="J83" s="17">
        <f>F83*G83</f>
        <v>3840</v>
      </c>
      <c r="K83" s="17">
        <v>1.594</v>
      </c>
      <c r="L83" s="17">
        <f>F83*K83</f>
        <v>7.6512</v>
      </c>
      <c r="M83" s="29" t="s">
        <v>271</v>
      </c>
      <c r="P83" s="34">
        <f>IF(AG83="5",J83,0)</f>
        <v>0</v>
      </c>
      <c r="R83" s="34">
        <f>IF(AG83="1",H83,0)</f>
        <v>0</v>
      </c>
      <c r="S83" s="34">
        <f>IF(AG83="1",I83,0)</f>
        <v>3840</v>
      </c>
      <c r="T83" s="34">
        <f>IF(AG83="7",H83,0)</f>
        <v>0</v>
      </c>
      <c r="U83" s="34">
        <f>IF(AG83="7",I83,0)</f>
        <v>0</v>
      </c>
      <c r="V83" s="34">
        <f>IF(AG83="2",H83,0)</f>
        <v>0</v>
      </c>
      <c r="W83" s="34">
        <f>IF(AG83="2",I83,0)</f>
        <v>0</v>
      </c>
      <c r="X83" s="34">
        <f>IF(AG83="0",J83,0)</f>
        <v>0</v>
      </c>
      <c r="Y83" s="26"/>
      <c r="Z83" s="17">
        <f>IF(AD83=0,J83,0)</f>
        <v>0</v>
      </c>
      <c r="AA83" s="17">
        <f>IF(AD83=15,J83,0)</f>
        <v>0</v>
      </c>
      <c r="AB83" s="17">
        <f>IF(AD83=21,J83,0)</f>
        <v>3840</v>
      </c>
      <c r="AD83" s="34">
        <v>21</v>
      </c>
      <c r="AE83" s="34">
        <f>G83*0</f>
        <v>0</v>
      </c>
      <c r="AF83" s="34">
        <f>G83*(1-0)</f>
        <v>800</v>
      </c>
      <c r="AG83" s="29" t="s">
        <v>7</v>
      </c>
      <c r="AM83" s="34">
        <f>F83*AE83</f>
        <v>0</v>
      </c>
      <c r="AN83" s="34">
        <f>F83*AF83</f>
        <v>3840</v>
      </c>
      <c r="AO83" s="35" t="s">
        <v>291</v>
      </c>
      <c r="AP83" s="35" t="s">
        <v>299</v>
      </c>
      <c r="AQ83" s="26" t="s">
        <v>300</v>
      </c>
      <c r="AS83" s="34">
        <f>AM83+AN83</f>
        <v>3840</v>
      </c>
      <c r="AT83" s="34">
        <f>G83/(100-AU83)*100</f>
        <v>800</v>
      </c>
      <c r="AU83" s="34">
        <v>0</v>
      </c>
      <c r="AV83" s="34">
        <f>L83</f>
        <v>7.6512</v>
      </c>
    </row>
    <row r="84" spans="1:37" ht="12.75">
      <c r="A84" s="5"/>
      <c r="B84" s="13"/>
      <c r="C84" s="13" t="s">
        <v>150</v>
      </c>
      <c r="D84" s="94" t="s">
        <v>232</v>
      </c>
      <c r="E84" s="95"/>
      <c r="F84" s="95"/>
      <c r="G84" s="95"/>
      <c r="H84" s="37">
        <f>SUM(H85:H85)</f>
        <v>6235.783438854661</v>
      </c>
      <c r="I84" s="37">
        <f>SUM(I85:I85)</f>
        <v>23764.21656114534</v>
      </c>
      <c r="J84" s="37">
        <f>H84+I84</f>
        <v>30000</v>
      </c>
      <c r="K84" s="26"/>
      <c r="L84" s="37">
        <f>SUM(L85:L85)</f>
        <v>0.29943</v>
      </c>
      <c r="M84" s="26"/>
      <c r="Y84" s="26"/>
      <c r="AI84" s="37">
        <f>SUM(Z85:Z85)</f>
        <v>0</v>
      </c>
      <c r="AJ84" s="37">
        <f>SUM(AA85:AA85)</f>
        <v>0</v>
      </c>
      <c r="AK84" s="37">
        <f>SUM(AB85:AB85)</f>
        <v>30000</v>
      </c>
    </row>
    <row r="85" spans="1:48" ht="12.75">
      <c r="A85" s="4" t="s">
        <v>68</v>
      </c>
      <c r="B85" s="4"/>
      <c r="C85" s="4" t="s">
        <v>151</v>
      </c>
      <c r="D85" s="4" t="s">
        <v>233</v>
      </c>
      <c r="E85" s="4" t="s">
        <v>255</v>
      </c>
      <c r="F85" s="17">
        <v>1</v>
      </c>
      <c r="G85" s="17">
        <v>30000</v>
      </c>
      <c r="H85" s="17">
        <f>F85*AE85</f>
        <v>6235.783438854661</v>
      </c>
      <c r="I85" s="17">
        <f>J85-H85</f>
        <v>23764.21656114534</v>
      </c>
      <c r="J85" s="17">
        <f>F85*G85</f>
        <v>30000</v>
      </c>
      <c r="K85" s="17">
        <v>0.29943</v>
      </c>
      <c r="L85" s="17">
        <f>F85*K85</f>
        <v>0.29943</v>
      </c>
      <c r="M85" s="29" t="s">
        <v>271</v>
      </c>
      <c r="P85" s="34">
        <f>IF(AG85="5",J85,0)</f>
        <v>0</v>
      </c>
      <c r="R85" s="34">
        <f>IF(AG85="1",H85,0)</f>
        <v>0</v>
      </c>
      <c r="S85" s="34">
        <f>IF(AG85="1",I85,0)</f>
        <v>0</v>
      </c>
      <c r="T85" s="34">
        <f>IF(AG85="7",H85,0)</f>
        <v>0</v>
      </c>
      <c r="U85" s="34">
        <f>IF(AG85="7",I85,0)</f>
        <v>0</v>
      </c>
      <c r="V85" s="34">
        <f>IF(AG85="2",H85,0)</f>
        <v>6235.783438854661</v>
      </c>
      <c r="W85" s="34">
        <f>IF(AG85="2",I85,0)</f>
        <v>23764.21656114534</v>
      </c>
      <c r="X85" s="34">
        <f>IF(AG85="0",J85,0)</f>
        <v>0</v>
      </c>
      <c r="Y85" s="26"/>
      <c r="Z85" s="17">
        <f>IF(AD85=0,J85,0)</f>
        <v>0</v>
      </c>
      <c r="AA85" s="17">
        <f>IF(AD85=15,J85,0)</f>
        <v>0</v>
      </c>
      <c r="AB85" s="17">
        <f>IF(AD85=21,J85,0)</f>
        <v>30000</v>
      </c>
      <c r="AD85" s="34">
        <v>21</v>
      </c>
      <c r="AE85" s="34">
        <f>G85*0.207859447961822</f>
        <v>6235.783438854661</v>
      </c>
      <c r="AF85" s="34">
        <f>G85*(1-0.207859447961822)</f>
        <v>23764.216561145342</v>
      </c>
      <c r="AG85" s="29" t="s">
        <v>8</v>
      </c>
      <c r="AM85" s="34">
        <f>F85*AE85</f>
        <v>6235.783438854661</v>
      </c>
      <c r="AN85" s="34">
        <f>F85*AF85</f>
        <v>23764.216561145342</v>
      </c>
      <c r="AO85" s="35" t="s">
        <v>292</v>
      </c>
      <c r="AP85" s="35" t="s">
        <v>299</v>
      </c>
      <c r="AQ85" s="26" t="s">
        <v>300</v>
      </c>
      <c r="AS85" s="34">
        <f>AM85+AN85</f>
        <v>30000.000000000004</v>
      </c>
      <c r="AT85" s="34">
        <f>G85/(100-AU85)*100</f>
        <v>30000</v>
      </c>
      <c r="AU85" s="34">
        <v>0</v>
      </c>
      <c r="AV85" s="34">
        <f>L85</f>
        <v>0.29943</v>
      </c>
    </row>
    <row r="86" spans="1:37" ht="12.75">
      <c r="A86" s="5"/>
      <c r="B86" s="13"/>
      <c r="C86" s="13" t="s">
        <v>152</v>
      </c>
      <c r="D86" s="94" t="s">
        <v>234</v>
      </c>
      <c r="E86" s="95"/>
      <c r="F86" s="95"/>
      <c r="G86" s="95"/>
      <c r="H86" s="37">
        <f>SUM(H87:H95)</f>
        <v>0</v>
      </c>
      <c r="I86" s="37">
        <f>SUM(I87:I95)</f>
        <v>160857.02</v>
      </c>
      <c r="J86" s="37">
        <f>H86+I86</f>
        <v>160857.02</v>
      </c>
      <c r="K86" s="26"/>
      <c r="L86" s="37">
        <f>SUM(L87:L95)</f>
        <v>0</v>
      </c>
      <c r="M86" s="26"/>
      <c r="Y86" s="26"/>
      <c r="AI86" s="37">
        <f>SUM(Z87:Z95)</f>
        <v>0</v>
      </c>
      <c r="AJ86" s="37">
        <f>SUM(AA87:AA95)</f>
        <v>0</v>
      </c>
      <c r="AK86" s="37">
        <f>SUM(AB87:AB95)</f>
        <v>160857.02</v>
      </c>
    </row>
    <row r="87" spans="1:48" ht="12.75">
      <c r="A87" s="4" t="s">
        <v>69</v>
      </c>
      <c r="B87" s="4"/>
      <c r="C87" s="4" t="s">
        <v>153</v>
      </c>
      <c r="D87" s="4" t="s">
        <v>235</v>
      </c>
      <c r="E87" s="4" t="s">
        <v>251</v>
      </c>
      <c r="F87" s="17">
        <v>45.9587</v>
      </c>
      <c r="G87" s="17">
        <v>600</v>
      </c>
      <c r="H87" s="17">
        <f aca="true" t="shared" si="62" ref="H87:H95">F87*AE87</f>
        <v>0</v>
      </c>
      <c r="I87" s="17">
        <f aca="true" t="shared" si="63" ref="I87:I95">J87-H87</f>
        <v>27575.22</v>
      </c>
      <c r="J87" s="17">
        <f aca="true" t="shared" si="64" ref="J87:J95">F87*G87</f>
        <v>27575.22</v>
      </c>
      <c r="K87" s="17">
        <v>0</v>
      </c>
      <c r="L87" s="17">
        <f aca="true" t="shared" si="65" ref="L87:L95">F87*K87</f>
        <v>0</v>
      </c>
      <c r="M87" s="29" t="s">
        <v>271</v>
      </c>
      <c r="P87" s="34">
        <f aca="true" t="shared" si="66" ref="P87:P95">IF(AG87="5",J87,0)</f>
        <v>27575.22</v>
      </c>
      <c r="R87" s="34">
        <f aca="true" t="shared" si="67" ref="R87:R95">IF(AG87="1",H87,0)</f>
        <v>0</v>
      </c>
      <c r="S87" s="34">
        <f aca="true" t="shared" si="68" ref="S87:S95">IF(AG87="1",I87,0)</f>
        <v>0</v>
      </c>
      <c r="T87" s="34">
        <f aca="true" t="shared" si="69" ref="T87:T95">IF(AG87="7",H87,0)</f>
        <v>0</v>
      </c>
      <c r="U87" s="34">
        <f aca="true" t="shared" si="70" ref="U87:U95">IF(AG87="7",I87,0)</f>
        <v>0</v>
      </c>
      <c r="V87" s="34">
        <f aca="true" t="shared" si="71" ref="V87:V95">IF(AG87="2",H87,0)</f>
        <v>0</v>
      </c>
      <c r="W87" s="34">
        <f aca="true" t="shared" si="72" ref="W87:W95">IF(AG87="2",I87,0)</f>
        <v>0</v>
      </c>
      <c r="X87" s="34">
        <f aca="true" t="shared" si="73" ref="X87:X95">IF(AG87="0",J87,0)</f>
        <v>0</v>
      </c>
      <c r="Y87" s="26"/>
      <c r="Z87" s="17">
        <f aca="true" t="shared" si="74" ref="Z87:Z95">IF(AD87=0,J87,0)</f>
        <v>0</v>
      </c>
      <c r="AA87" s="17">
        <f aca="true" t="shared" si="75" ref="AA87:AA95">IF(AD87=15,J87,0)</f>
        <v>0</v>
      </c>
      <c r="AB87" s="17">
        <f aca="true" t="shared" si="76" ref="AB87:AB95">IF(AD87=21,J87,0)</f>
        <v>27575.22</v>
      </c>
      <c r="AD87" s="34">
        <v>21</v>
      </c>
      <c r="AE87" s="34">
        <f aca="true" t="shared" si="77" ref="AE87:AE95">G87*0</f>
        <v>0</v>
      </c>
      <c r="AF87" s="34">
        <f aca="true" t="shared" si="78" ref="AF87:AF95">G87*(1-0)</f>
        <v>600</v>
      </c>
      <c r="AG87" s="29" t="s">
        <v>11</v>
      </c>
      <c r="AM87" s="34">
        <f aca="true" t="shared" si="79" ref="AM87:AM95">F87*AE87</f>
        <v>0</v>
      </c>
      <c r="AN87" s="34">
        <f aca="true" t="shared" si="80" ref="AN87:AN95">F87*AF87</f>
        <v>27575.22</v>
      </c>
      <c r="AO87" s="35" t="s">
        <v>293</v>
      </c>
      <c r="AP87" s="35" t="s">
        <v>299</v>
      </c>
      <c r="AQ87" s="26" t="s">
        <v>300</v>
      </c>
      <c r="AS87" s="34">
        <f aca="true" t="shared" si="81" ref="AS87:AS95">AM87+AN87</f>
        <v>27575.22</v>
      </c>
      <c r="AT87" s="34">
        <f aca="true" t="shared" si="82" ref="AT87:AT95">G87/(100-AU87)*100</f>
        <v>600</v>
      </c>
      <c r="AU87" s="34">
        <v>0</v>
      </c>
      <c r="AV87" s="34">
        <f aca="true" t="shared" si="83" ref="AV87:AV95">L87</f>
        <v>0</v>
      </c>
    </row>
    <row r="88" spans="1:48" ht="12.75">
      <c r="A88" s="4" t="s">
        <v>70</v>
      </c>
      <c r="B88" s="4"/>
      <c r="C88" s="4" t="s">
        <v>154</v>
      </c>
      <c r="D88" s="4" t="s">
        <v>236</v>
      </c>
      <c r="E88" s="4" t="s">
        <v>251</v>
      </c>
      <c r="F88" s="17">
        <v>40.7227</v>
      </c>
      <c r="G88" s="17">
        <v>100</v>
      </c>
      <c r="H88" s="17">
        <f t="shared" si="62"/>
        <v>0</v>
      </c>
      <c r="I88" s="17">
        <f t="shared" si="63"/>
        <v>4072.2700000000004</v>
      </c>
      <c r="J88" s="17">
        <f t="shared" si="64"/>
        <v>4072.2700000000004</v>
      </c>
      <c r="K88" s="17">
        <v>0</v>
      </c>
      <c r="L88" s="17">
        <f t="shared" si="65"/>
        <v>0</v>
      </c>
      <c r="M88" s="29" t="s">
        <v>271</v>
      </c>
      <c r="P88" s="34">
        <f t="shared" si="66"/>
        <v>4072.2700000000004</v>
      </c>
      <c r="R88" s="34">
        <f t="shared" si="67"/>
        <v>0</v>
      </c>
      <c r="S88" s="34">
        <f t="shared" si="68"/>
        <v>0</v>
      </c>
      <c r="T88" s="34">
        <f t="shared" si="69"/>
        <v>0</v>
      </c>
      <c r="U88" s="34">
        <f t="shared" si="70"/>
        <v>0</v>
      </c>
      <c r="V88" s="34">
        <f t="shared" si="71"/>
        <v>0</v>
      </c>
      <c r="W88" s="34">
        <f t="shared" si="72"/>
        <v>0</v>
      </c>
      <c r="X88" s="34">
        <f t="shared" si="73"/>
        <v>0</v>
      </c>
      <c r="Y88" s="26"/>
      <c r="Z88" s="17">
        <f t="shared" si="74"/>
        <v>0</v>
      </c>
      <c r="AA88" s="17">
        <f t="shared" si="75"/>
        <v>0</v>
      </c>
      <c r="AB88" s="17">
        <f t="shared" si="76"/>
        <v>4072.2700000000004</v>
      </c>
      <c r="AD88" s="34">
        <v>21</v>
      </c>
      <c r="AE88" s="34">
        <f t="shared" si="77"/>
        <v>0</v>
      </c>
      <c r="AF88" s="34">
        <f t="shared" si="78"/>
        <v>100</v>
      </c>
      <c r="AG88" s="29" t="s">
        <v>11</v>
      </c>
      <c r="AM88" s="34">
        <f t="shared" si="79"/>
        <v>0</v>
      </c>
      <c r="AN88" s="34">
        <f t="shared" si="80"/>
        <v>4072.2700000000004</v>
      </c>
      <c r="AO88" s="35" t="s">
        <v>293</v>
      </c>
      <c r="AP88" s="35" t="s">
        <v>299</v>
      </c>
      <c r="AQ88" s="26" t="s">
        <v>300</v>
      </c>
      <c r="AS88" s="34">
        <f t="shared" si="81"/>
        <v>4072.2700000000004</v>
      </c>
      <c r="AT88" s="34">
        <f t="shared" si="82"/>
        <v>100</v>
      </c>
      <c r="AU88" s="34">
        <v>0</v>
      </c>
      <c r="AV88" s="34">
        <f t="shared" si="83"/>
        <v>0</v>
      </c>
    </row>
    <row r="89" spans="1:48" ht="12.75">
      <c r="A89" s="4" t="s">
        <v>71</v>
      </c>
      <c r="B89" s="4"/>
      <c r="C89" s="4" t="s">
        <v>155</v>
      </c>
      <c r="D89" s="4" t="s">
        <v>237</v>
      </c>
      <c r="E89" s="4" t="s">
        <v>251</v>
      </c>
      <c r="F89" s="17">
        <v>40.7227</v>
      </c>
      <c r="G89" s="17">
        <v>800</v>
      </c>
      <c r="H89" s="17">
        <f t="shared" si="62"/>
        <v>0</v>
      </c>
      <c r="I89" s="17">
        <f t="shared" si="63"/>
        <v>32578.160000000003</v>
      </c>
      <c r="J89" s="17">
        <f t="shared" si="64"/>
        <v>32578.160000000003</v>
      </c>
      <c r="K89" s="17">
        <v>0</v>
      </c>
      <c r="L89" s="17">
        <f t="shared" si="65"/>
        <v>0</v>
      </c>
      <c r="M89" s="29" t="s">
        <v>271</v>
      </c>
      <c r="P89" s="34">
        <f t="shared" si="66"/>
        <v>32578.160000000003</v>
      </c>
      <c r="R89" s="34">
        <f t="shared" si="67"/>
        <v>0</v>
      </c>
      <c r="S89" s="34">
        <f t="shared" si="68"/>
        <v>0</v>
      </c>
      <c r="T89" s="34">
        <f t="shared" si="69"/>
        <v>0</v>
      </c>
      <c r="U89" s="34">
        <f t="shared" si="70"/>
        <v>0</v>
      </c>
      <c r="V89" s="34">
        <f t="shared" si="71"/>
        <v>0</v>
      </c>
      <c r="W89" s="34">
        <f t="shared" si="72"/>
        <v>0</v>
      </c>
      <c r="X89" s="34">
        <f t="shared" si="73"/>
        <v>0</v>
      </c>
      <c r="Y89" s="26"/>
      <c r="Z89" s="17">
        <f t="shared" si="74"/>
        <v>0</v>
      </c>
      <c r="AA89" s="17">
        <f t="shared" si="75"/>
        <v>0</v>
      </c>
      <c r="AB89" s="17">
        <f t="shared" si="76"/>
        <v>32578.160000000003</v>
      </c>
      <c r="AD89" s="34">
        <v>21</v>
      </c>
      <c r="AE89" s="34">
        <f t="shared" si="77"/>
        <v>0</v>
      </c>
      <c r="AF89" s="34">
        <f t="shared" si="78"/>
        <v>800</v>
      </c>
      <c r="AG89" s="29" t="s">
        <v>11</v>
      </c>
      <c r="AM89" s="34">
        <f t="shared" si="79"/>
        <v>0</v>
      </c>
      <c r="AN89" s="34">
        <f t="shared" si="80"/>
        <v>32578.160000000003</v>
      </c>
      <c r="AO89" s="35" t="s">
        <v>293</v>
      </c>
      <c r="AP89" s="35" t="s">
        <v>299</v>
      </c>
      <c r="AQ89" s="26" t="s">
        <v>300</v>
      </c>
      <c r="AS89" s="34">
        <f t="shared" si="81"/>
        <v>32578.160000000003</v>
      </c>
      <c r="AT89" s="34">
        <f t="shared" si="82"/>
        <v>800</v>
      </c>
      <c r="AU89" s="34">
        <v>0</v>
      </c>
      <c r="AV89" s="34">
        <f t="shared" si="83"/>
        <v>0</v>
      </c>
    </row>
    <row r="90" spans="1:48" ht="12.75">
      <c r="A90" s="4" t="s">
        <v>72</v>
      </c>
      <c r="B90" s="4"/>
      <c r="C90" s="4" t="s">
        <v>156</v>
      </c>
      <c r="D90" s="4" t="s">
        <v>238</v>
      </c>
      <c r="E90" s="4" t="s">
        <v>251</v>
      </c>
      <c r="F90" s="17">
        <v>814.454</v>
      </c>
      <c r="G90" s="17">
        <v>40</v>
      </c>
      <c r="H90" s="17">
        <f t="shared" si="62"/>
        <v>0</v>
      </c>
      <c r="I90" s="17">
        <f t="shared" si="63"/>
        <v>32578.159999999996</v>
      </c>
      <c r="J90" s="17">
        <f t="shared" si="64"/>
        <v>32578.159999999996</v>
      </c>
      <c r="K90" s="17">
        <v>0</v>
      </c>
      <c r="L90" s="17">
        <f t="shared" si="65"/>
        <v>0</v>
      </c>
      <c r="M90" s="29" t="s">
        <v>271</v>
      </c>
      <c r="P90" s="34">
        <f t="shared" si="66"/>
        <v>32578.159999999996</v>
      </c>
      <c r="R90" s="34">
        <f t="shared" si="67"/>
        <v>0</v>
      </c>
      <c r="S90" s="34">
        <f t="shared" si="68"/>
        <v>0</v>
      </c>
      <c r="T90" s="34">
        <f t="shared" si="69"/>
        <v>0</v>
      </c>
      <c r="U90" s="34">
        <f t="shared" si="70"/>
        <v>0</v>
      </c>
      <c r="V90" s="34">
        <f t="shared" si="71"/>
        <v>0</v>
      </c>
      <c r="W90" s="34">
        <f t="shared" si="72"/>
        <v>0</v>
      </c>
      <c r="X90" s="34">
        <f t="shared" si="73"/>
        <v>0</v>
      </c>
      <c r="Y90" s="26"/>
      <c r="Z90" s="17">
        <f t="shared" si="74"/>
        <v>0</v>
      </c>
      <c r="AA90" s="17">
        <f t="shared" si="75"/>
        <v>0</v>
      </c>
      <c r="AB90" s="17">
        <f t="shared" si="76"/>
        <v>32578.159999999996</v>
      </c>
      <c r="AD90" s="34">
        <v>21</v>
      </c>
      <c r="AE90" s="34">
        <f t="shared" si="77"/>
        <v>0</v>
      </c>
      <c r="AF90" s="34">
        <f t="shared" si="78"/>
        <v>40</v>
      </c>
      <c r="AG90" s="29" t="s">
        <v>11</v>
      </c>
      <c r="AM90" s="34">
        <f t="shared" si="79"/>
        <v>0</v>
      </c>
      <c r="AN90" s="34">
        <f t="shared" si="80"/>
        <v>32578.159999999996</v>
      </c>
      <c r="AO90" s="35" t="s">
        <v>293</v>
      </c>
      <c r="AP90" s="35" t="s">
        <v>299</v>
      </c>
      <c r="AQ90" s="26" t="s">
        <v>300</v>
      </c>
      <c r="AS90" s="34">
        <f t="shared" si="81"/>
        <v>32578.159999999996</v>
      </c>
      <c r="AT90" s="34">
        <f t="shared" si="82"/>
        <v>40</v>
      </c>
      <c r="AU90" s="34">
        <v>0</v>
      </c>
      <c r="AV90" s="34">
        <f t="shared" si="83"/>
        <v>0</v>
      </c>
    </row>
    <row r="91" spans="1:48" ht="12.75">
      <c r="A91" s="4" t="s">
        <v>73</v>
      </c>
      <c r="B91" s="4"/>
      <c r="C91" s="4" t="s">
        <v>154</v>
      </c>
      <c r="D91" s="4" t="s">
        <v>236</v>
      </c>
      <c r="E91" s="4" t="s">
        <v>251</v>
      </c>
      <c r="F91" s="17">
        <v>5.236</v>
      </c>
      <c r="G91" s="17">
        <v>100</v>
      </c>
      <c r="H91" s="17">
        <f t="shared" si="62"/>
        <v>0</v>
      </c>
      <c r="I91" s="17">
        <f t="shared" si="63"/>
        <v>523.6</v>
      </c>
      <c r="J91" s="17">
        <f t="shared" si="64"/>
        <v>523.6</v>
      </c>
      <c r="K91" s="17">
        <v>0</v>
      </c>
      <c r="L91" s="17">
        <f t="shared" si="65"/>
        <v>0</v>
      </c>
      <c r="M91" s="29" t="s">
        <v>271</v>
      </c>
      <c r="P91" s="34">
        <f t="shared" si="66"/>
        <v>523.6</v>
      </c>
      <c r="R91" s="34">
        <f t="shared" si="67"/>
        <v>0</v>
      </c>
      <c r="S91" s="34">
        <f t="shared" si="68"/>
        <v>0</v>
      </c>
      <c r="T91" s="34">
        <f t="shared" si="69"/>
        <v>0</v>
      </c>
      <c r="U91" s="34">
        <f t="shared" si="70"/>
        <v>0</v>
      </c>
      <c r="V91" s="34">
        <f t="shared" si="71"/>
        <v>0</v>
      </c>
      <c r="W91" s="34">
        <f t="shared" si="72"/>
        <v>0</v>
      </c>
      <c r="X91" s="34">
        <f t="shared" si="73"/>
        <v>0</v>
      </c>
      <c r="Y91" s="26"/>
      <c r="Z91" s="17">
        <f t="shared" si="74"/>
        <v>0</v>
      </c>
      <c r="AA91" s="17">
        <f t="shared" si="75"/>
        <v>0</v>
      </c>
      <c r="AB91" s="17">
        <f t="shared" si="76"/>
        <v>523.6</v>
      </c>
      <c r="AD91" s="34">
        <v>21</v>
      </c>
      <c r="AE91" s="34">
        <f t="shared" si="77"/>
        <v>0</v>
      </c>
      <c r="AF91" s="34">
        <f t="shared" si="78"/>
        <v>100</v>
      </c>
      <c r="AG91" s="29" t="s">
        <v>11</v>
      </c>
      <c r="AM91" s="34">
        <f t="shared" si="79"/>
        <v>0</v>
      </c>
      <c r="AN91" s="34">
        <f t="shared" si="80"/>
        <v>523.6</v>
      </c>
      <c r="AO91" s="35" t="s">
        <v>293</v>
      </c>
      <c r="AP91" s="35" t="s">
        <v>299</v>
      </c>
      <c r="AQ91" s="26" t="s">
        <v>300</v>
      </c>
      <c r="AS91" s="34">
        <f t="shared" si="81"/>
        <v>523.6</v>
      </c>
      <c r="AT91" s="34">
        <f t="shared" si="82"/>
        <v>100</v>
      </c>
      <c r="AU91" s="34">
        <v>0</v>
      </c>
      <c r="AV91" s="34">
        <f t="shared" si="83"/>
        <v>0</v>
      </c>
    </row>
    <row r="92" spans="1:48" ht="12.75">
      <c r="A92" s="4" t="s">
        <v>74</v>
      </c>
      <c r="B92" s="4"/>
      <c r="C92" s="4" t="s">
        <v>157</v>
      </c>
      <c r="D92" s="4" t="s">
        <v>239</v>
      </c>
      <c r="E92" s="4" t="s">
        <v>251</v>
      </c>
      <c r="F92" s="17">
        <v>5.236</v>
      </c>
      <c r="G92" s="17">
        <v>7800</v>
      </c>
      <c r="H92" s="17">
        <f t="shared" si="62"/>
        <v>0</v>
      </c>
      <c r="I92" s="17">
        <f t="shared" si="63"/>
        <v>40840.799999999996</v>
      </c>
      <c r="J92" s="17">
        <f t="shared" si="64"/>
        <v>40840.799999999996</v>
      </c>
      <c r="K92" s="17">
        <v>0</v>
      </c>
      <c r="L92" s="17">
        <f t="shared" si="65"/>
        <v>0</v>
      </c>
      <c r="M92" s="29" t="s">
        <v>271</v>
      </c>
      <c r="P92" s="34">
        <f t="shared" si="66"/>
        <v>40840.799999999996</v>
      </c>
      <c r="R92" s="34">
        <f t="shared" si="67"/>
        <v>0</v>
      </c>
      <c r="S92" s="34">
        <f t="shared" si="68"/>
        <v>0</v>
      </c>
      <c r="T92" s="34">
        <f t="shared" si="69"/>
        <v>0</v>
      </c>
      <c r="U92" s="34">
        <f t="shared" si="70"/>
        <v>0</v>
      </c>
      <c r="V92" s="34">
        <f t="shared" si="71"/>
        <v>0</v>
      </c>
      <c r="W92" s="34">
        <f t="shared" si="72"/>
        <v>0</v>
      </c>
      <c r="X92" s="34">
        <f t="shared" si="73"/>
        <v>0</v>
      </c>
      <c r="Y92" s="26"/>
      <c r="Z92" s="17">
        <f t="shared" si="74"/>
        <v>0</v>
      </c>
      <c r="AA92" s="17">
        <f t="shared" si="75"/>
        <v>0</v>
      </c>
      <c r="AB92" s="17">
        <f t="shared" si="76"/>
        <v>40840.799999999996</v>
      </c>
      <c r="AD92" s="34">
        <v>21</v>
      </c>
      <c r="AE92" s="34">
        <f t="shared" si="77"/>
        <v>0</v>
      </c>
      <c r="AF92" s="34">
        <f t="shared" si="78"/>
        <v>7800</v>
      </c>
      <c r="AG92" s="29" t="s">
        <v>11</v>
      </c>
      <c r="AM92" s="34">
        <f t="shared" si="79"/>
        <v>0</v>
      </c>
      <c r="AN92" s="34">
        <f t="shared" si="80"/>
        <v>40840.799999999996</v>
      </c>
      <c r="AO92" s="35" t="s">
        <v>293</v>
      </c>
      <c r="AP92" s="35" t="s">
        <v>299</v>
      </c>
      <c r="AQ92" s="26" t="s">
        <v>300</v>
      </c>
      <c r="AS92" s="34">
        <f t="shared" si="81"/>
        <v>40840.799999999996</v>
      </c>
      <c r="AT92" s="34">
        <f t="shared" si="82"/>
        <v>7800</v>
      </c>
      <c r="AU92" s="34">
        <v>0</v>
      </c>
      <c r="AV92" s="34">
        <f t="shared" si="83"/>
        <v>0</v>
      </c>
    </row>
    <row r="93" spans="1:48" ht="12.75">
      <c r="A93" s="4" t="s">
        <v>75</v>
      </c>
      <c r="B93" s="4"/>
      <c r="C93" s="4" t="s">
        <v>158</v>
      </c>
      <c r="D93" s="4" t="s">
        <v>240</v>
      </c>
      <c r="E93" s="4" t="s">
        <v>251</v>
      </c>
      <c r="F93" s="17">
        <v>5.236</v>
      </c>
      <c r="G93" s="17">
        <v>1500</v>
      </c>
      <c r="H93" s="17">
        <f t="shared" si="62"/>
        <v>0</v>
      </c>
      <c r="I93" s="17">
        <f t="shared" si="63"/>
        <v>7854</v>
      </c>
      <c r="J93" s="17">
        <f t="shared" si="64"/>
        <v>7854</v>
      </c>
      <c r="K93" s="17">
        <v>0</v>
      </c>
      <c r="L93" s="17">
        <f t="shared" si="65"/>
        <v>0</v>
      </c>
      <c r="M93" s="29" t="s">
        <v>271</v>
      </c>
      <c r="P93" s="34">
        <f t="shared" si="66"/>
        <v>7854</v>
      </c>
      <c r="R93" s="34">
        <f t="shared" si="67"/>
        <v>0</v>
      </c>
      <c r="S93" s="34">
        <f t="shared" si="68"/>
        <v>0</v>
      </c>
      <c r="T93" s="34">
        <f t="shared" si="69"/>
        <v>0</v>
      </c>
      <c r="U93" s="34">
        <f t="shared" si="70"/>
        <v>0</v>
      </c>
      <c r="V93" s="34">
        <f t="shared" si="71"/>
        <v>0</v>
      </c>
      <c r="W93" s="34">
        <f t="shared" si="72"/>
        <v>0</v>
      </c>
      <c r="X93" s="34">
        <f t="shared" si="73"/>
        <v>0</v>
      </c>
      <c r="Y93" s="26"/>
      <c r="Z93" s="17">
        <f t="shared" si="74"/>
        <v>0</v>
      </c>
      <c r="AA93" s="17">
        <f t="shared" si="75"/>
        <v>0</v>
      </c>
      <c r="AB93" s="17">
        <f t="shared" si="76"/>
        <v>7854</v>
      </c>
      <c r="AD93" s="34">
        <v>21</v>
      </c>
      <c r="AE93" s="34">
        <f t="shared" si="77"/>
        <v>0</v>
      </c>
      <c r="AF93" s="34">
        <f t="shared" si="78"/>
        <v>1500</v>
      </c>
      <c r="AG93" s="29" t="s">
        <v>11</v>
      </c>
      <c r="AM93" s="34">
        <f t="shared" si="79"/>
        <v>0</v>
      </c>
      <c r="AN93" s="34">
        <f t="shared" si="80"/>
        <v>7854</v>
      </c>
      <c r="AO93" s="35" t="s">
        <v>293</v>
      </c>
      <c r="AP93" s="35" t="s">
        <v>299</v>
      </c>
      <c r="AQ93" s="26" t="s">
        <v>300</v>
      </c>
      <c r="AS93" s="34">
        <f t="shared" si="81"/>
        <v>7854</v>
      </c>
      <c r="AT93" s="34">
        <f t="shared" si="82"/>
        <v>1500</v>
      </c>
      <c r="AU93" s="34">
        <v>0</v>
      </c>
      <c r="AV93" s="34">
        <f t="shared" si="83"/>
        <v>0</v>
      </c>
    </row>
    <row r="94" spans="1:48" ht="12.75">
      <c r="A94" s="4" t="s">
        <v>76</v>
      </c>
      <c r="B94" s="4"/>
      <c r="C94" s="4" t="s">
        <v>159</v>
      </c>
      <c r="D94" s="4" t="s">
        <v>241</v>
      </c>
      <c r="E94" s="4" t="s">
        <v>251</v>
      </c>
      <c r="F94" s="17">
        <v>26.18</v>
      </c>
      <c r="G94" s="17">
        <v>100</v>
      </c>
      <c r="H94" s="17">
        <f t="shared" si="62"/>
        <v>0</v>
      </c>
      <c r="I94" s="17">
        <f t="shared" si="63"/>
        <v>2618</v>
      </c>
      <c r="J94" s="17">
        <f t="shared" si="64"/>
        <v>2618</v>
      </c>
      <c r="K94" s="17">
        <v>0</v>
      </c>
      <c r="L94" s="17">
        <f t="shared" si="65"/>
        <v>0</v>
      </c>
      <c r="M94" s="29" t="s">
        <v>271</v>
      </c>
      <c r="P94" s="34">
        <f t="shared" si="66"/>
        <v>2618</v>
      </c>
      <c r="R94" s="34">
        <f t="shared" si="67"/>
        <v>0</v>
      </c>
      <c r="S94" s="34">
        <f t="shared" si="68"/>
        <v>0</v>
      </c>
      <c r="T94" s="34">
        <f t="shared" si="69"/>
        <v>0</v>
      </c>
      <c r="U94" s="34">
        <f t="shared" si="70"/>
        <v>0</v>
      </c>
      <c r="V94" s="34">
        <f t="shared" si="71"/>
        <v>0</v>
      </c>
      <c r="W94" s="34">
        <f t="shared" si="72"/>
        <v>0</v>
      </c>
      <c r="X94" s="34">
        <f t="shared" si="73"/>
        <v>0</v>
      </c>
      <c r="Y94" s="26"/>
      <c r="Z94" s="17">
        <f t="shared" si="74"/>
        <v>0</v>
      </c>
      <c r="AA94" s="17">
        <f t="shared" si="75"/>
        <v>0</v>
      </c>
      <c r="AB94" s="17">
        <f t="shared" si="76"/>
        <v>2618</v>
      </c>
      <c r="AD94" s="34">
        <v>21</v>
      </c>
      <c r="AE94" s="34">
        <f t="shared" si="77"/>
        <v>0</v>
      </c>
      <c r="AF94" s="34">
        <f t="shared" si="78"/>
        <v>100</v>
      </c>
      <c r="AG94" s="29" t="s">
        <v>11</v>
      </c>
      <c r="AM94" s="34">
        <f t="shared" si="79"/>
        <v>0</v>
      </c>
      <c r="AN94" s="34">
        <f t="shared" si="80"/>
        <v>2618</v>
      </c>
      <c r="AO94" s="35" t="s">
        <v>293</v>
      </c>
      <c r="AP94" s="35" t="s">
        <v>299</v>
      </c>
      <c r="AQ94" s="26" t="s">
        <v>300</v>
      </c>
      <c r="AS94" s="34">
        <f t="shared" si="81"/>
        <v>2618</v>
      </c>
      <c r="AT94" s="34">
        <f t="shared" si="82"/>
        <v>100</v>
      </c>
      <c r="AU94" s="34">
        <v>0</v>
      </c>
      <c r="AV94" s="34">
        <f t="shared" si="83"/>
        <v>0</v>
      </c>
    </row>
    <row r="95" spans="1:48" ht="12.75">
      <c r="A95" s="7" t="s">
        <v>77</v>
      </c>
      <c r="B95" s="7"/>
      <c r="C95" s="7" t="s">
        <v>160</v>
      </c>
      <c r="D95" s="7" t="s">
        <v>242</v>
      </c>
      <c r="E95" s="7" t="s">
        <v>251</v>
      </c>
      <c r="F95" s="19">
        <v>40.7227</v>
      </c>
      <c r="G95" s="19">
        <v>300</v>
      </c>
      <c r="H95" s="19">
        <f t="shared" si="62"/>
        <v>0</v>
      </c>
      <c r="I95" s="19">
        <f t="shared" si="63"/>
        <v>12216.810000000001</v>
      </c>
      <c r="J95" s="19">
        <f t="shared" si="64"/>
        <v>12216.810000000001</v>
      </c>
      <c r="K95" s="19">
        <v>0</v>
      </c>
      <c r="L95" s="19">
        <f t="shared" si="65"/>
        <v>0</v>
      </c>
      <c r="M95" s="31" t="s">
        <v>271</v>
      </c>
      <c r="P95" s="34">
        <f t="shared" si="66"/>
        <v>12216.810000000001</v>
      </c>
      <c r="R95" s="34">
        <f t="shared" si="67"/>
        <v>0</v>
      </c>
      <c r="S95" s="34">
        <f t="shared" si="68"/>
        <v>0</v>
      </c>
      <c r="T95" s="34">
        <f t="shared" si="69"/>
        <v>0</v>
      </c>
      <c r="U95" s="34">
        <f t="shared" si="70"/>
        <v>0</v>
      </c>
      <c r="V95" s="34">
        <f t="shared" si="71"/>
        <v>0</v>
      </c>
      <c r="W95" s="34">
        <f t="shared" si="72"/>
        <v>0</v>
      </c>
      <c r="X95" s="34">
        <f t="shared" si="73"/>
        <v>0</v>
      </c>
      <c r="Y95" s="26"/>
      <c r="Z95" s="17">
        <f t="shared" si="74"/>
        <v>0</v>
      </c>
      <c r="AA95" s="17">
        <f t="shared" si="75"/>
        <v>0</v>
      </c>
      <c r="AB95" s="17">
        <f t="shared" si="76"/>
        <v>12216.810000000001</v>
      </c>
      <c r="AD95" s="34">
        <v>21</v>
      </c>
      <c r="AE95" s="34">
        <f t="shared" si="77"/>
        <v>0</v>
      </c>
      <c r="AF95" s="34">
        <f t="shared" si="78"/>
        <v>300</v>
      </c>
      <c r="AG95" s="29" t="s">
        <v>11</v>
      </c>
      <c r="AM95" s="34">
        <f t="shared" si="79"/>
        <v>0</v>
      </c>
      <c r="AN95" s="34">
        <f t="shared" si="80"/>
        <v>12216.810000000001</v>
      </c>
      <c r="AO95" s="35" t="s">
        <v>293</v>
      </c>
      <c r="AP95" s="35" t="s">
        <v>299</v>
      </c>
      <c r="AQ95" s="26" t="s">
        <v>300</v>
      </c>
      <c r="AS95" s="34">
        <f t="shared" si="81"/>
        <v>12216.810000000001</v>
      </c>
      <c r="AT95" s="34">
        <f t="shared" si="82"/>
        <v>300</v>
      </c>
      <c r="AU95" s="34">
        <v>0</v>
      </c>
      <c r="AV95" s="34">
        <f t="shared" si="83"/>
        <v>0</v>
      </c>
    </row>
    <row r="96" spans="1:13" ht="12.75">
      <c r="A96" s="8"/>
      <c r="B96" s="8"/>
      <c r="C96" s="8"/>
      <c r="D96" s="8"/>
      <c r="E96" s="8"/>
      <c r="F96" s="8"/>
      <c r="G96" s="8"/>
      <c r="H96" s="101" t="s">
        <v>261</v>
      </c>
      <c r="I96" s="102"/>
      <c r="J96" s="38">
        <f>J12+J16+J20+J25+J28+J45+J50+J67+J74+J77+J81+J84+J86</f>
        <v>1880168.974</v>
      </c>
      <c r="K96" s="8"/>
      <c r="L96" s="8"/>
      <c r="M96" s="8"/>
    </row>
    <row r="97" ht="11.25" customHeight="1">
      <c r="A97" s="9" t="s">
        <v>78</v>
      </c>
    </row>
    <row r="98" spans="1:13" ht="12.75">
      <c r="A98" s="88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</sheetData>
  <sheetProtection/>
  <mergeCells count="42">
    <mergeCell ref="D81:G81"/>
    <mergeCell ref="D84:G84"/>
    <mergeCell ref="D86:G86"/>
    <mergeCell ref="H96:I96"/>
    <mergeCell ref="A98:M98"/>
    <mergeCell ref="D28:G28"/>
    <mergeCell ref="D45:G45"/>
    <mergeCell ref="D50:G50"/>
    <mergeCell ref="D67:G67"/>
    <mergeCell ref="D74:G74"/>
    <mergeCell ref="D77:G77"/>
    <mergeCell ref="H10:J10"/>
    <mergeCell ref="K10:L10"/>
    <mergeCell ref="D12:G12"/>
    <mergeCell ref="D16:G16"/>
    <mergeCell ref="D20:G20"/>
    <mergeCell ref="D25:G25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7" right="0.7" top="0.75" bottom="0.75" header="0.3" footer="0.3"/>
  <pageSetup fitToHeight="0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F17" sqref="F17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5" t="s">
        <v>301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81" t="s">
        <v>161</v>
      </c>
      <c r="C2" s="102"/>
      <c r="D2" s="84" t="s">
        <v>262</v>
      </c>
      <c r="E2" s="84"/>
      <c r="F2" s="78"/>
      <c r="G2" s="85"/>
      <c r="H2" s="32"/>
    </row>
    <row r="3" spans="1:8" ht="12.75">
      <c r="A3" s="79"/>
      <c r="B3" s="82"/>
      <c r="C3" s="82"/>
      <c r="D3" s="80"/>
      <c r="E3" s="80"/>
      <c r="F3" s="80"/>
      <c r="G3" s="86"/>
      <c r="H3" s="32"/>
    </row>
    <row r="4" spans="1:8" ht="12.75">
      <c r="A4" s="87" t="s">
        <v>2</v>
      </c>
      <c r="B4" s="88"/>
      <c r="C4" s="80"/>
      <c r="D4" s="88" t="s">
        <v>263</v>
      </c>
      <c r="E4" s="88"/>
      <c r="F4" s="80"/>
      <c r="G4" s="86"/>
      <c r="H4" s="32"/>
    </row>
    <row r="5" spans="1:8" ht="12.75">
      <c r="A5" s="79"/>
      <c r="B5" s="80"/>
      <c r="C5" s="80"/>
      <c r="D5" s="80"/>
      <c r="E5" s="80"/>
      <c r="F5" s="80"/>
      <c r="G5" s="86"/>
      <c r="H5" s="32"/>
    </row>
    <row r="6" spans="1:8" ht="12.75">
      <c r="A6" s="87" t="s">
        <v>3</v>
      </c>
      <c r="B6" s="88"/>
      <c r="C6" s="80"/>
      <c r="D6" s="88" t="s">
        <v>264</v>
      </c>
      <c r="E6" s="88"/>
      <c r="F6" s="80"/>
      <c r="G6" s="86"/>
      <c r="H6" s="32"/>
    </row>
    <row r="7" spans="1:8" ht="12.75">
      <c r="A7" s="79"/>
      <c r="B7" s="80"/>
      <c r="C7" s="80"/>
      <c r="D7" s="80"/>
      <c r="E7" s="80"/>
      <c r="F7" s="80"/>
      <c r="G7" s="86"/>
      <c r="H7" s="32"/>
    </row>
    <row r="8" spans="1:8" ht="12.75">
      <c r="A8" s="87" t="s">
        <v>265</v>
      </c>
      <c r="B8" s="88"/>
      <c r="C8" s="80"/>
      <c r="D8" s="89" t="s">
        <v>246</v>
      </c>
      <c r="E8" s="90">
        <v>43650</v>
      </c>
      <c r="F8" s="80"/>
      <c r="G8" s="86"/>
      <c r="H8" s="32"/>
    </row>
    <row r="9" spans="1:8" ht="12.75">
      <c r="A9" s="91"/>
      <c r="B9" s="92"/>
      <c r="C9" s="92"/>
      <c r="D9" s="92"/>
      <c r="E9" s="92"/>
      <c r="F9" s="92"/>
      <c r="G9" s="93"/>
      <c r="H9" s="32"/>
    </row>
    <row r="10" spans="1:8" ht="12.75">
      <c r="A10" s="39" t="s">
        <v>79</v>
      </c>
      <c r="B10" s="41" t="s">
        <v>80</v>
      </c>
      <c r="C10" s="42" t="s">
        <v>162</v>
      </c>
      <c r="D10" s="43" t="s">
        <v>302</v>
      </c>
      <c r="E10" s="43" t="s">
        <v>303</v>
      </c>
      <c r="F10" s="43" t="s">
        <v>304</v>
      </c>
      <c r="G10" s="45" t="s">
        <v>305</v>
      </c>
      <c r="H10" s="33"/>
    </row>
    <row r="11" spans="1:9" ht="12.75">
      <c r="A11" s="40"/>
      <c r="B11" s="40" t="s">
        <v>37</v>
      </c>
      <c r="C11" s="40" t="s">
        <v>164</v>
      </c>
      <c r="D11" s="46">
        <f>'Stavební rozpočet'!H12</f>
        <v>49627.83240088681</v>
      </c>
      <c r="E11" s="46">
        <f>'Stavební rozpočet'!I12</f>
        <v>20772.167599113192</v>
      </c>
      <c r="F11" s="46">
        <f aca="true" t="shared" si="0" ref="F11:F23">D11+E11</f>
        <v>70400</v>
      </c>
      <c r="G11" s="46">
        <f>'Stavební rozpočet'!L12</f>
        <v>14.811828000000002</v>
      </c>
      <c r="H11" s="34" t="s">
        <v>306</v>
      </c>
      <c r="I11" s="34">
        <f aca="true" t="shared" si="1" ref="I11:I23">IF(H11="F",0,F11)</f>
        <v>70400</v>
      </c>
    </row>
    <row r="12" spans="1:9" ht="12.75">
      <c r="A12" s="15"/>
      <c r="B12" s="15" t="s">
        <v>47</v>
      </c>
      <c r="C12" s="15" t="s">
        <v>168</v>
      </c>
      <c r="D12" s="34">
        <f>'Stavební rozpočet'!H16</f>
        <v>78658.51835228137</v>
      </c>
      <c r="E12" s="34">
        <f>'Stavební rozpočet'!I16</f>
        <v>35916.481647718625</v>
      </c>
      <c r="F12" s="34">
        <f t="shared" si="0"/>
        <v>114575</v>
      </c>
      <c r="G12" s="34">
        <f>'Stavební rozpočet'!L16</f>
        <v>29.25679495</v>
      </c>
      <c r="H12" s="34" t="s">
        <v>306</v>
      </c>
      <c r="I12" s="34">
        <f t="shared" si="1"/>
        <v>114575</v>
      </c>
    </row>
    <row r="13" spans="1:9" ht="12.75">
      <c r="A13" s="15"/>
      <c r="B13" s="15" t="s">
        <v>68</v>
      </c>
      <c r="C13" s="15" t="s">
        <v>172</v>
      </c>
      <c r="D13" s="34">
        <f>'Stavební rozpočet'!H20</f>
        <v>21922.963057549485</v>
      </c>
      <c r="E13" s="34">
        <f>'Stavební rozpočet'!I20</f>
        <v>91388.93594245052</v>
      </c>
      <c r="F13" s="34">
        <f t="shared" si="0"/>
        <v>113311.899</v>
      </c>
      <c r="G13" s="34">
        <f>'Stavební rozpočet'!L20</f>
        <v>12.02252</v>
      </c>
      <c r="H13" s="34" t="s">
        <v>306</v>
      </c>
      <c r="I13" s="34">
        <f t="shared" si="1"/>
        <v>113311.899</v>
      </c>
    </row>
    <row r="14" spans="1:9" ht="12.75">
      <c r="A14" s="15"/>
      <c r="B14" s="15" t="s">
        <v>91</v>
      </c>
      <c r="C14" s="15" t="s">
        <v>177</v>
      </c>
      <c r="D14" s="34">
        <f>'Stavební rozpočet'!H25</f>
        <v>0</v>
      </c>
      <c r="E14" s="34">
        <f>'Stavební rozpočet'!I25</f>
        <v>12741</v>
      </c>
      <c r="F14" s="34">
        <f t="shared" si="0"/>
        <v>12741</v>
      </c>
      <c r="G14" s="34">
        <f>'Stavební rozpočet'!L25</f>
        <v>1.302</v>
      </c>
      <c r="H14" s="34" t="s">
        <v>306</v>
      </c>
      <c r="I14" s="34">
        <f t="shared" si="1"/>
        <v>12741</v>
      </c>
    </row>
    <row r="15" spans="1:9" ht="12.75">
      <c r="A15" s="15"/>
      <c r="B15" s="15" t="s">
        <v>94</v>
      </c>
      <c r="C15" s="15" t="s">
        <v>180</v>
      </c>
      <c r="D15" s="34">
        <f>'Stavební rozpočet'!H28</f>
        <v>352346.74262380245</v>
      </c>
      <c r="E15" s="34">
        <f>'Stavební rozpočet'!I28</f>
        <v>115113.25737619755</v>
      </c>
      <c r="F15" s="34">
        <f t="shared" si="0"/>
        <v>467460</v>
      </c>
      <c r="G15" s="34">
        <f>'Stavební rozpočet'!L28</f>
        <v>37.40839851500001</v>
      </c>
      <c r="H15" s="34" t="s">
        <v>306</v>
      </c>
      <c r="I15" s="34">
        <f t="shared" si="1"/>
        <v>467460</v>
      </c>
    </row>
    <row r="16" spans="1:9" ht="12.75">
      <c r="A16" s="15"/>
      <c r="B16" s="15" t="s">
        <v>111</v>
      </c>
      <c r="C16" s="15" t="s">
        <v>196</v>
      </c>
      <c r="D16" s="34">
        <f>'Stavební rozpočet'!H45</f>
        <v>30320.45300896104</v>
      </c>
      <c r="E16" s="34">
        <f>'Stavební rozpočet'!I45</f>
        <v>14479.54699103896</v>
      </c>
      <c r="F16" s="34">
        <f t="shared" si="0"/>
        <v>44800</v>
      </c>
      <c r="G16" s="34">
        <f>'Stavební rozpočet'!L45</f>
        <v>0.7956849999999999</v>
      </c>
      <c r="H16" s="34" t="s">
        <v>306</v>
      </c>
      <c r="I16" s="34">
        <f t="shared" si="1"/>
        <v>44800</v>
      </c>
    </row>
    <row r="17" spans="1:9" ht="12.75">
      <c r="A17" s="15"/>
      <c r="B17" s="15" t="s">
        <v>116</v>
      </c>
      <c r="C17" s="15" t="s">
        <v>198</v>
      </c>
      <c r="D17" s="34">
        <f>'Stavební rozpočet'!H50</f>
        <v>272057.95278270904</v>
      </c>
      <c r="E17" s="34">
        <f>'Stavební rozpočet'!I50</f>
        <v>441660.3522172909</v>
      </c>
      <c r="F17" s="34">
        <f t="shared" si="0"/>
        <v>713718.3049999999</v>
      </c>
      <c r="G17" s="34">
        <f>'Stavební rozpočet'!L50</f>
        <v>29.0956135</v>
      </c>
      <c r="H17" s="34" t="s">
        <v>306</v>
      </c>
      <c r="I17" s="34">
        <f t="shared" si="1"/>
        <v>713718.3049999999</v>
      </c>
    </row>
    <row r="18" spans="1:9" ht="12.75">
      <c r="A18" s="15"/>
      <c r="B18" s="15" t="s">
        <v>133</v>
      </c>
      <c r="C18" s="15" t="s">
        <v>215</v>
      </c>
      <c r="D18" s="34">
        <f>'Stavební rozpočet'!H67</f>
        <v>40013.613451093806</v>
      </c>
      <c r="E18" s="34">
        <f>'Stavební rozpočet'!I67</f>
        <v>53664.136548906194</v>
      </c>
      <c r="F18" s="34">
        <f t="shared" si="0"/>
        <v>93677.75</v>
      </c>
      <c r="G18" s="34">
        <f>'Stavební rozpočet'!L67</f>
        <v>2.087304</v>
      </c>
      <c r="H18" s="34" t="s">
        <v>306</v>
      </c>
      <c r="I18" s="34">
        <f t="shared" si="1"/>
        <v>93677.75</v>
      </c>
    </row>
    <row r="19" spans="1:9" ht="12.75">
      <c r="A19" s="15"/>
      <c r="B19" s="15" t="s">
        <v>140</v>
      </c>
      <c r="C19" s="15" t="s">
        <v>222</v>
      </c>
      <c r="D19" s="34">
        <f>'Stavební rozpočet'!H74</f>
        <v>0</v>
      </c>
      <c r="E19" s="34">
        <f>'Stavební rozpočet'!I74</f>
        <v>10000</v>
      </c>
      <c r="F19" s="34">
        <f t="shared" si="0"/>
        <v>10000</v>
      </c>
      <c r="G19" s="34">
        <f>'Stavební rozpočet'!L74</f>
        <v>0</v>
      </c>
      <c r="H19" s="34" t="s">
        <v>306</v>
      </c>
      <c r="I19" s="34">
        <f t="shared" si="1"/>
        <v>10000</v>
      </c>
    </row>
    <row r="20" spans="1:9" ht="12.75">
      <c r="A20" s="15"/>
      <c r="B20" s="15" t="s">
        <v>143</v>
      </c>
      <c r="C20" s="15" t="s">
        <v>225</v>
      </c>
      <c r="D20" s="34">
        <f>'Stavební rozpočet'!H77</f>
        <v>4033.547758806481</v>
      </c>
      <c r="E20" s="34">
        <f>'Stavební rozpočet'!I77</f>
        <v>26066.452241193518</v>
      </c>
      <c r="F20" s="34">
        <f t="shared" si="0"/>
        <v>30100</v>
      </c>
      <c r="G20" s="34">
        <f>'Stavební rozpočet'!L77</f>
        <v>8.2689</v>
      </c>
      <c r="H20" s="34" t="s">
        <v>306</v>
      </c>
      <c r="I20" s="34">
        <f t="shared" si="1"/>
        <v>30100</v>
      </c>
    </row>
    <row r="21" spans="1:9" ht="12.75">
      <c r="A21" s="15"/>
      <c r="B21" s="15" t="s">
        <v>147</v>
      </c>
      <c r="C21" s="15" t="s">
        <v>229</v>
      </c>
      <c r="D21" s="34">
        <f>'Stavební rozpočet'!H81</f>
        <v>702.2988679245277</v>
      </c>
      <c r="E21" s="34">
        <f>'Stavební rozpočet'!I81</f>
        <v>17825.701132075472</v>
      </c>
      <c r="F21" s="34">
        <f t="shared" si="0"/>
        <v>18528</v>
      </c>
      <c r="G21" s="34">
        <f>'Stavební rozpočet'!L81</f>
        <v>40.7227008</v>
      </c>
      <c r="H21" s="34" t="s">
        <v>306</v>
      </c>
      <c r="I21" s="34">
        <f t="shared" si="1"/>
        <v>18528</v>
      </c>
    </row>
    <row r="22" spans="1:9" ht="12.75">
      <c r="A22" s="15"/>
      <c r="B22" s="15" t="s">
        <v>150</v>
      </c>
      <c r="C22" s="15" t="s">
        <v>232</v>
      </c>
      <c r="D22" s="34">
        <f>'Stavební rozpočet'!H84</f>
        <v>6235.783438854661</v>
      </c>
      <c r="E22" s="34">
        <f>'Stavební rozpočet'!I84</f>
        <v>23764.21656114534</v>
      </c>
      <c r="F22" s="34">
        <f t="shared" si="0"/>
        <v>30000</v>
      </c>
      <c r="G22" s="34">
        <f>'Stavební rozpočet'!L84</f>
        <v>0.29943</v>
      </c>
      <c r="H22" s="34" t="s">
        <v>306</v>
      </c>
      <c r="I22" s="34">
        <f t="shared" si="1"/>
        <v>30000</v>
      </c>
    </row>
    <row r="23" spans="1:9" ht="12.75">
      <c r="A23" s="15"/>
      <c r="B23" s="15" t="s">
        <v>152</v>
      </c>
      <c r="C23" s="15" t="s">
        <v>234</v>
      </c>
      <c r="D23" s="34">
        <f>'Stavební rozpočet'!H86</f>
        <v>0</v>
      </c>
      <c r="E23" s="34">
        <f>'Stavební rozpočet'!I86</f>
        <v>160857.02</v>
      </c>
      <c r="F23" s="34">
        <f t="shared" si="0"/>
        <v>160857.02</v>
      </c>
      <c r="G23" s="34">
        <f>'Stavební rozpočet'!L86</f>
        <v>0</v>
      </c>
      <c r="H23" s="34" t="s">
        <v>306</v>
      </c>
      <c r="I23" s="34">
        <f t="shared" si="1"/>
        <v>160857.02</v>
      </c>
    </row>
    <row r="25" spans="5:6" ht="12.75">
      <c r="E25" s="44" t="s">
        <v>261</v>
      </c>
      <c r="F25" s="47">
        <f>SUM(I11:I23)</f>
        <v>1880168.974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48"/>
      <c r="C1" s="103" t="s">
        <v>322</v>
      </c>
      <c r="D1" s="104"/>
      <c r="E1" s="104"/>
      <c r="F1" s="104"/>
      <c r="G1" s="104"/>
      <c r="H1" s="104"/>
      <c r="I1" s="104"/>
    </row>
    <row r="2" spans="1:10" ht="12.75">
      <c r="A2" s="77" t="s">
        <v>1</v>
      </c>
      <c r="B2" s="78"/>
      <c r="C2" s="81" t="s">
        <v>161</v>
      </c>
      <c r="D2" s="102"/>
      <c r="E2" s="84" t="s">
        <v>262</v>
      </c>
      <c r="F2" s="84"/>
      <c r="G2" s="78"/>
      <c r="H2" s="84" t="s">
        <v>347</v>
      </c>
      <c r="I2" s="105"/>
      <c r="J2" s="32"/>
    </row>
    <row r="3" spans="1:10" ht="12.75">
      <c r="A3" s="79"/>
      <c r="B3" s="80"/>
      <c r="C3" s="82"/>
      <c r="D3" s="82"/>
      <c r="E3" s="80"/>
      <c r="F3" s="80"/>
      <c r="G3" s="80"/>
      <c r="H3" s="80"/>
      <c r="I3" s="86"/>
      <c r="J3" s="32"/>
    </row>
    <row r="4" spans="1:10" ht="12.75">
      <c r="A4" s="87" t="s">
        <v>2</v>
      </c>
      <c r="B4" s="80"/>
      <c r="C4" s="88"/>
      <c r="D4" s="80"/>
      <c r="E4" s="88" t="s">
        <v>263</v>
      </c>
      <c r="F4" s="88"/>
      <c r="G4" s="80"/>
      <c r="H4" s="88" t="s">
        <v>347</v>
      </c>
      <c r="I4" s="106"/>
      <c r="J4" s="32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32"/>
    </row>
    <row r="6" spans="1:10" ht="12.75">
      <c r="A6" s="87" t="s">
        <v>3</v>
      </c>
      <c r="B6" s="80"/>
      <c r="C6" s="88"/>
      <c r="D6" s="80"/>
      <c r="E6" s="88" t="s">
        <v>264</v>
      </c>
      <c r="F6" s="88"/>
      <c r="G6" s="80"/>
      <c r="H6" s="88" t="s">
        <v>347</v>
      </c>
      <c r="I6" s="106"/>
      <c r="J6" s="32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32"/>
    </row>
    <row r="8" spans="1:10" ht="12.75">
      <c r="A8" s="87" t="s">
        <v>244</v>
      </c>
      <c r="B8" s="80"/>
      <c r="C8" s="90">
        <v>43650</v>
      </c>
      <c r="D8" s="80"/>
      <c r="E8" s="88" t="s">
        <v>245</v>
      </c>
      <c r="F8" s="80"/>
      <c r="G8" s="80"/>
      <c r="H8" s="89" t="s">
        <v>348</v>
      </c>
      <c r="I8" s="106" t="s">
        <v>77</v>
      </c>
      <c r="J8" s="32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32"/>
    </row>
    <row r="10" spans="1:10" ht="12.75">
      <c r="A10" s="87" t="s">
        <v>4</v>
      </c>
      <c r="B10" s="80"/>
      <c r="C10" s="88"/>
      <c r="D10" s="80"/>
      <c r="E10" s="88" t="s">
        <v>265</v>
      </c>
      <c r="F10" s="88"/>
      <c r="G10" s="80"/>
      <c r="H10" s="89" t="s">
        <v>349</v>
      </c>
      <c r="I10" s="109">
        <v>43650</v>
      </c>
      <c r="J10" s="32"/>
    </row>
    <row r="11" spans="1:10" ht="12.75">
      <c r="A11" s="107"/>
      <c r="B11" s="108"/>
      <c r="C11" s="108"/>
      <c r="D11" s="108"/>
      <c r="E11" s="108"/>
      <c r="F11" s="108"/>
      <c r="G11" s="108"/>
      <c r="H11" s="108"/>
      <c r="I11" s="110"/>
      <c r="J11" s="32"/>
    </row>
    <row r="12" spans="1:9" ht="23.25" customHeight="1">
      <c r="A12" s="111" t="s">
        <v>307</v>
      </c>
      <c r="B12" s="112"/>
      <c r="C12" s="112"/>
      <c r="D12" s="112"/>
      <c r="E12" s="112"/>
      <c r="F12" s="112"/>
      <c r="G12" s="112"/>
      <c r="H12" s="112"/>
      <c r="I12" s="112"/>
    </row>
    <row r="13" spans="1:10" ht="26.25" customHeight="1">
      <c r="A13" s="49" t="s">
        <v>308</v>
      </c>
      <c r="B13" s="113" t="s">
        <v>320</v>
      </c>
      <c r="C13" s="114"/>
      <c r="D13" s="49" t="s">
        <v>323</v>
      </c>
      <c r="E13" s="113" t="s">
        <v>332</v>
      </c>
      <c r="F13" s="114"/>
      <c r="G13" s="49" t="s">
        <v>333</v>
      </c>
      <c r="H13" s="113" t="s">
        <v>350</v>
      </c>
      <c r="I13" s="114"/>
      <c r="J13" s="32"/>
    </row>
    <row r="14" spans="1:10" ht="15" customHeight="1">
      <c r="A14" s="50" t="s">
        <v>309</v>
      </c>
      <c r="B14" s="54" t="s">
        <v>321</v>
      </c>
      <c r="C14" s="58">
        <f>SUM('Stavební rozpočet'!R12:R95)</f>
        <v>154945.16043744865</v>
      </c>
      <c r="D14" s="115" t="s">
        <v>324</v>
      </c>
      <c r="E14" s="116"/>
      <c r="F14" s="58">
        <f>VORN!I15</f>
        <v>0</v>
      </c>
      <c r="G14" s="115" t="s">
        <v>334</v>
      </c>
      <c r="H14" s="116"/>
      <c r="I14" s="58">
        <f>VORN!I21</f>
        <v>18801.689739999998</v>
      </c>
      <c r="J14" s="32"/>
    </row>
    <row r="15" spans="1:10" ht="15" customHeight="1">
      <c r="A15" s="51"/>
      <c r="B15" s="54" t="s">
        <v>266</v>
      </c>
      <c r="C15" s="58">
        <f>SUM('Stavební rozpočet'!S12:S95)</f>
        <v>182337.83956255135</v>
      </c>
      <c r="D15" s="115" t="s">
        <v>325</v>
      </c>
      <c r="E15" s="116"/>
      <c r="F15" s="58">
        <f>VORN!I16</f>
        <v>0</v>
      </c>
      <c r="G15" s="115" t="s">
        <v>335</v>
      </c>
      <c r="H15" s="116"/>
      <c r="I15" s="58">
        <f>VORN!I22</f>
        <v>0</v>
      </c>
      <c r="J15" s="32"/>
    </row>
    <row r="16" spans="1:10" ht="15" customHeight="1">
      <c r="A16" s="50" t="s">
        <v>310</v>
      </c>
      <c r="B16" s="54" t="s">
        <v>321</v>
      </c>
      <c r="C16" s="58">
        <f>SUM('Stavební rozpočet'!T12:T95)</f>
        <v>694738.7618665666</v>
      </c>
      <c r="D16" s="115" t="s">
        <v>326</v>
      </c>
      <c r="E16" s="116"/>
      <c r="F16" s="58">
        <f>VORN!I17</f>
        <v>0</v>
      </c>
      <c r="G16" s="115" t="s">
        <v>336</v>
      </c>
      <c r="H16" s="116"/>
      <c r="I16" s="58">
        <f>VORN!I23</f>
        <v>0</v>
      </c>
      <c r="J16" s="32"/>
    </row>
    <row r="17" spans="1:10" ht="15" customHeight="1">
      <c r="A17" s="51"/>
      <c r="B17" s="54" t="s">
        <v>266</v>
      </c>
      <c r="C17" s="58">
        <f>SUM('Stavební rozpočet'!U12:U95)</f>
        <v>620247.7381334335</v>
      </c>
      <c r="D17" s="115"/>
      <c r="E17" s="116"/>
      <c r="F17" s="59"/>
      <c r="G17" s="115" t="s">
        <v>337</v>
      </c>
      <c r="H17" s="116"/>
      <c r="I17" s="58">
        <f>VORN!I24</f>
        <v>0</v>
      </c>
      <c r="J17" s="32"/>
    </row>
    <row r="18" spans="1:10" ht="15" customHeight="1">
      <c r="A18" s="50" t="s">
        <v>311</v>
      </c>
      <c r="B18" s="54" t="s">
        <v>321</v>
      </c>
      <c r="C18" s="58">
        <f>SUM('Stavební rozpočet'!V12:V95)</f>
        <v>6235.783438854661</v>
      </c>
      <c r="D18" s="115"/>
      <c r="E18" s="116"/>
      <c r="F18" s="59"/>
      <c r="G18" s="115" t="s">
        <v>338</v>
      </c>
      <c r="H18" s="116"/>
      <c r="I18" s="58">
        <f>VORN!I25</f>
        <v>0</v>
      </c>
      <c r="J18" s="32"/>
    </row>
    <row r="19" spans="1:10" ht="15" customHeight="1">
      <c r="A19" s="51"/>
      <c r="B19" s="54" t="s">
        <v>266</v>
      </c>
      <c r="C19" s="58">
        <f>SUM('Stavební rozpočet'!W12:W95)</f>
        <v>23764.21656114534</v>
      </c>
      <c r="D19" s="115"/>
      <c r="E19" s="116"/>
      <c r="F19" s="59"/>
      <c r="G19" s="115" t="s">
        <v>339</v>
      </c>
      <c r="H19" s="116"/>
      <c r="I19" s="58">
        <f>VORN!I26</f>
        <v>0</v>
      </c>
      <c r="J19" s="32"/>
    </row>
    <row r="20" spans="1:10" ht="15" customHeight="1">
      <c r="A20" s="117" t="s">
        <v>312</v>
      </c>
      <c r="B20" s="118"/>
      <c r="C20" s="58">
        <f>SUM('Stavební rozpočet'!X12:X95)</f>
        <v>0</v>
      </c>
      <c r="D20" s="115"/>
      <c r="E20" s="116"/>
      <c r="F20" s="59"/>
      <c r="G20" s="115"/>
      <c r="H20" s="116"/>
      <c r="I20" s="59"/>
      <c r="J20" s="32"/>
    </row>
    <row r="21" spans="1:10" ht="15" customHeight="1">
      <c r="A21" s="117" t="s">
        <v>313</v>
      </c>
      <c r="B21" s="118"/>
      <c r="C21" s="58">
        <f>SUM('Stavební rozpočet'!P12:P95)</f>
        <v>197899.474</v>
      </c>
      <c r="D21" s="115"/>
      <c r="E21" s="116"/>
      <c r="F21" s="59"/>
      <c r="G21" s="115"/>
      <c r="H21" s="116"/>
      <c r="I21" s="59"/>
      <c r="J21" s="32"/>
    </row>
    <row r="22" spans="1:10" ht="16.5" customHeight="1">
      <c r="A22" s="117" t="s">
        <v>314</v>
      </c>
      <c r="B22" s="118"/>
      <c r="C22" s="58">
        <f>SUM(C14:C21)</f>
        <v>1880168.974</v>
      </c>
      <c r="D22" s="117" t="s">
        <v>327</v>
      </c>
      <c r="E22" s="118"/>
      <c r="F22" s="58">
        <f>SUM(F14:F21)</f>
        <v>0</v>
      </c>
      <c r="G22" s="117" t="s">
        <v>340</v>
      </c>
      <c r="H22" s="118"/>
      <c r="I22" s="58">
        <f>SUM(I14:I21)</f>
        <v>18801.689739999998</v>
      </c>
      <c r="J22" s="32"/>
    </row>
    <row r="23" spans="1:10" ht="15" customHeight="1">
      <c r="A23" s="8"/>
      <c r="B23" s="8"/>
      <c r="C23" s="56"/>
      <c r="D23" s="117" t="s">
        <v>328</v>
      </c>
      <c r="E23" s="118"/>
      <c r="F23" s="60">
        <v>0</v>
      </c>
      <c r="G23" s="117" t="s">
        <v>341</v>
      </c>
      <c r="H23" s="118"/>
      <c r="I23" s="58">
        <v>0</v>
      </c>
      <c r="J23" s="32"/>
    </row>
    <row r="24" spans="4:10" ht="15" customHeight="1">
      <c r="D24" s="8"/>
      <c r="E24" s="8"/>
      <c r="F24" s="61"/>
      <c r="G24" s="117" t="s">
        <v>342</v>
      </c>
      <c r="H24" s="118"/>
      <c r="I24" s="58">
        <f>vorn_sum</f>
        <v>0</v>
      </c>
      <c r="J24" s="32"/>
    </row>
    <row r="25" spans="6:10" ht="15" customHeight="1">
      <c r="F25" s="62"/>
      <c r="G25" s="117" t="s">
        <v>343</v>
      </c>
      <c r="H25" s="118"/>
      <c r="I25" s="58">
        <v>0</v>
      </c>
      <c r="J25" s="32"/>
    </row>
    <row r="26" spans="1:9" ht="12.75">
      <c r="A26" s="48"/>
      <c r="B26" s="48"/>
      <c r="C26" s="48"/>
      <c r="G26" s="8"/>
      <c r="H26" s="8"/>
      <c r="I26" s="8"/>
    </row>
    <row r="27" spans="1:9" ht="15" customHeight="1">
      <c r="A27" s="119" t="s">
        <v>315</v>
      </c>
      <c r="B27" s="120"/>
      <c r="C27" s="63">
        <f>SUM('Stavební rozpočet'!Z12:Z95)</f>
        <v>0</v>
      </c>
      <c r="D27" s="57"/>
      <c r="E27" s="48"/>
      <c r="F27" s="48"/>
      <c r="G27" s="48"/>
      <c r="H27" s="48"/>
      <c r="I27" s="48"/>
    </row>
    <row r="28" spans="1:10" ht="15" customHeight="1">
      <c r="A28" s="119" t="s">
        <v>316</v>
      </c>
      <c r="B28" s="120"/>
      <c r="C28" s="63">
        <f>SUM('Stavební rozpočet'!AA12:AA95)</f>
        <v>0</v>
      </c>
      <c r="D28" s="119" t="s">
        <v>329</v>
      </c>
      <c r="E28" s="120"/>
      <c r="F28" s="63">
        <f>ROUND(C28*(15/100),2)</f>
        <v>0</v>
      </c>
      <c r="G28" s="119" t="s">
        <v>344</v>
      </c>
      <c r="H28" s="120"/>
      <c r="I28" s="63">
        <f>SUM(C27:C29)</f>
        <v>1898970.66374</v>
      </c>
      <c r="J28" s="32"/>
    </row>
    <row r="29" spans="1:10" ht="15" customHeight="1">
      <c r="A29" s="119" t="s">
        <v>317</v>
      </c>
      <c r="B29" s="120"/>
      <c r="C29" s="63">
        <f>SUM('Stavební rozpočet'!AB12:AB95)+(F22+I22+F23+I23+I24+I25)</f>
        <v>1898970.66374</v>
      </c>
      <c r="D29" s="119" t="s">
        <v>330</v>
      </c>
      <c r="E29" s="120"/>
      <c r="F29" s="63">
        <f>ROUND(C29*(21/100),2)</f>
        <v>398783.84</v>
      </c>
      <c r="G29" s="119" t="s">
        <v>345</v>
      </c>
      <c r="H29" s="120"/>
      <c r="I29" s="63">
        <f>SUM(F28:F29)+I28</f>
        <v>2297754.50374</v>
      </c>
      <c r="J29" s="3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21" t="s">
        <v>318</v>
      </c>
      <c r="B31" s="122"/>
      <c r="C31" s="123"/>
      <c r="D31" s="121" t="s">
        <v>331</v>
      </c>
      <c r="E31" s="122"/>
      <c r="F31" s="123"/>
      <c r="G31" s="121" t="s">
        <v>346</v>
      </c>
      <c r="H31" s="122"/>
      <c r="I31" s="123"/>
      <c r="J31" s="33"/>
    </row>
    <row r="32" spans="1:10" ht="14.25" customHeight="1">
      <c r="A32" s="124"/>
      <c r="B32" s="125"/>
      <c r="C32" s="126"/>
      <c r="D32" s="124"/>
      <c r="E32" s="125"/>
      <c r="F32" s="126"/>
      <c r="G32" s="124"/>
      <c r="H32" s="125"/>
      <c r="I32" s="126"/>
      <c r="J32" s="33"/>
    </row>
    <row r="33" spans="1:10" ht="14.25" customHeight="1">
      <c r="A33" s="124"/>
      <c r="B33" s="125"/>
      <c r="C33" s="126"/>
      <c r="D33" s="124"/>
      <c r="E33" s="125"/>
      <c r="F33" s="126"/>
      <c r="G33" s="124"/>
      <c r="H33" s="125"/>
      <c r="I33" s="126"/>
      <c r="J33" s="33"/>
    </row>
    <row r="34" spans="1:10" ht="14.25" customHeight="1">
      <c r="A34" s="124"/>
      <c r="B34" s="125"/>
      <c r="C34" s="126"/>
      <c r="D34" s="124"/>
      <c r="E34" s="125"/>
      <c r="F34" s="126"/>
      <c r="G34" s="124"/>
      <c r="H34" s="125"/>
      <c r="I34" s="126"/>
      <c r="J34" s="33"/>
    </row>
    <row r="35" spans="1:10" ht="14.25" customHeight="1">
      <c r="A35" s="127" t="s">
        <v>319</v>
      </c>
      <c r="B35" s="128"/>
      <c r="C35" s="129"/>
      <c r="D35" s="127" t="s">
        <v>319</v>
      </c>
      <c r="E35" s="128"/>
      <c r="F35" s="129"/>
      <c r="G35" s="127" t="s">
        <v>319</v>
      </c>
      <c r="H35" s="128"/>
      <c r="I35" s="129"/>
      <c r="J35" s="33"/>
    </row>
    <row r="36" spans="1:9" ht="11.25" customHeight="1">
      <c r="A36" s="53" t="s">
        <v>78</v>
      </c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88"/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4"/>
      <c r="B1" s="48"/>
      <c r="C1" s="103" t="s">
        <v>359</v>
      </c>
      <c r="D1" s="104"/>
      <c r="E1" s="104"/>
      <c r="F1" s="104"/>
      <c r="G1" s="104"/>
      <c r="H1" s="104"/>
      <c r="I1" s="104"/>
    </row>
    <row r="2" spans="1:10" ht="12.75">
      <c r="A2" s="77" t="s">
        <v>1</v>
      </c>
      <c r="B2" s="78"/>
      <c r="C2" s="81" t="s">
        <v>161</v>
      </c>
      <c r="D2" s="102"/>
      <c r="E2" s="84" t="s">
        <v>262</v>
      </c>
      <c r="F2" s="84"/>
      <c r="G2" s="78"/>
      <c r="H2" s="84" t="s">
        <v>347</v>
      </c>
      <c r="I2" s="105"/>
      <c r="J2" s="32"/>
    </row>
    <row r="3" spans="1:10" ht="12.75">
      <c r="A3" s="79"/>
      <c r="B3" s="80"/>
      <c r="C3" s="82"/>
      <c r="D3" s="82"/>
      <c r="E3" s="80"/>
      <c r="F3" s="80"/>
      <c r="G3" s="80"/>
      <c r="H3" s="80"/>
      <c r="I3" s="86"/>
      <c r="J3" s="32"/>
    </row>
    <row r="4" spans="1:10" ht="12.75">
      <c r="A4" s="87" t="s">
        <v>2</v>
      </c>
      <c r="B4" s="80"/>
      <c r="C4" s="88"/>
      <c r="D4" s="80"/>
      <c r="E4" s="88" t="s">
        <v>263</v>
      </c>
      <c r="F4" s="88"/>
      <c r="G4" s="80"/>
      <c r="H4" s="88" t="s">
        <v>347</v>
      </c>
      <c r="I4" s="106"/>
      <c r="J4" s="32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32"/>
    </row>
    <row r="6" spans="1:10" ht="12.75">
      <c r="A6" s="87" t="s">
        <v>3</v>
      </c>
      <c r="B6" s="80"/>
      <c r="C6" s="88"/>
      <c r="D6" s="80"/>
      <c r="E6" s="88" t="s">
        <v>264</v>
      </c>
      <c r="F6" s="88"/>
      <c r="G6" s="80"/>
      <c r="H6" s="88" t="s">
        <v>347</v>
      </c>
      <c r="I6" s="106"/>
      <c r="J6" s="32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32"/>
    </row>
    <row r="8" spans="1:10" ht="12.75">
      <c r="A8" s="87" t="s">
        <v>244</v>
      </c>
      <c r="B8" s="80"/>
      <c r="C8" s="90">
        <v>43650</v>
      </c>
      <c r="D8" s="80"/>
      <c r="E8" s="88" t="s">
        <v>245</v>
      </c>
      <c r="F8" s="80"/>
      <c r="G8" s="80"/>
      <c r="H8" s="89" t="s">
        <v>348</v>
      </c>
      <c r="I8" s="106" t="s">
        <v>77</v>
      </c>
      <c r="J8" s="32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32"/>
    </row>
    <row r="10" spans="1:10" ht="12.75">
      <c r="A10" s="87" t="s">
        <v>4</v>
      </c>
      <c r="B10" s="80"/>
      <c r="C10" s="88"/>
      <c r="D10" s="80"/>
      <c r="E10" s="88" t="s">
        <v>265</v>
      </c>
      <c r="F10" s="88"/>
      <c r="G10" s="80"/>
      <c r="H10" s="89" t="s">
        <v>349</v>
      </c>
      <c r="I10" s="109">
        <v>43650</v>
      </c>
      <c r="J10" s="32"/>
    </row>
    <row r="11" spans="1:10" ht="12.75">
      <c r="A11" s="107"/>
      <c r="B11" s="108"/>
      <c r="C11" s="108"/>
      <c r="D11" s="108"/>
      <c r="E11" s="108"/>
      <c r="F11" s="108"/>
      <c r="G11" s="108"/>
      <c r="H11" s="108"/>
      <c r="I11" s="110"/>
      <c r="J11" s="32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30" t="s">
        <v>351</v>
      </c>
      <c r="B13" s="131"/>
      <c r="C13" s="131"/>
      <c r="D13" s="131"/>
      <c r="E13" s="131"/>
      <c r="F13" s="65"/>
      <c r="G13" s="65"/>
      <c r="H13" s="65"/>
      <c r="I13" s="65"/>
    </row>
    <row r="14" spans="1:10" ht="12.75">
      <c r="A14" s="132" t="s">
        <v>352</v>
      </c>
      <c r="B14" s="133"/>
      <c r="C14" s="133"/>
      <c r="D14" s="133"/>
      <c r="E14" s="134"/>
      <c r="F14" s="66" t="s">
        <v>360</v>
      </c>
      <c r="G14" s="66" t="s">
        <v>361</v>
      </c>
      <c r="H14" s="66" t="s">
        <v>362</v>
      </c>
      <c r="I14" s="66" t="s">
        <v>360</v>
      </c>
      <c r="J14" s="33"/>
    </row>
    <row r="15" spans="1:10" ht="12.75">
      <c r="A15" s="135" t="s">
        <v>324</v>
      </c>
      <c r="B15" s="136"/>
      <c r="C15" s="136"/>
      <c r="D15" s="136"/>
      <c r="E15" s="137"/>
      <c r="F15" s="67">
        <v>0</v>
      </c>
      <c r="G15" s="70"/>
      <c r="H15" s="70"/>
      <c r="I15" s="67">
        <f>F15</f>
        <v>0</v>
      </c>
      <c r="J15" s="32"/>
    </row>
    <row r="16" spans="1:10" ht="12.75">
      <c r="A16" s="135" t="s">
        <v>325</v>
      </c>
      <c r="B16" s="136"/>
      <c r="C16" s="136"/>
      <c r="D16" s="136"/>
      <c r="E16" s="137"/>
      <c r="F16" s="67">
        <v>0</v>
      </c>
      <c r="G16" s="70"/>
      <c r="H16" s="70"/>
      <c r="I16" s="67">
        <f>F16</f>
        <v>0</v>
      </c>
      <c r="J16" s="32"/>
    </row>
    <row r="17" spans="1:10" ht="12.75">
      <c r="A17" s="138" t="s">
        <v>326</v>
      </c>
      <c r="B17" s="139"/>
      <c r="C17" s="139"/>
      <c r="D17" s="139"/>
      <c r="E17" s="140"/>
      <c r="F17" s="68">
        <v>0</v>
      </c>
      <c r="G17" s="71"/>
      <c r="H17" s="71"/>
      <c r="I17" s="68">
        <f>F17</f>
        <v>0</v>
      </c>
      <c r="J17" s="32"/>
    </row>
    <row r="18" spans="1:10" ht="12.75">
      <c r="A18" s="141" t="s">
        <v>353</v>
      </c>
      <c r="B18" s="142"/>
      <c r="C18" s="142"/>
      <c r="D18" s="142"/>
      <c r="E18" s="143"/>
      <c r="F18" s="69"/>
      <c r="G18" s="72"/>
      <c r="H18" s="72"/>
      <c r="I18" s="73">
        <f>SUM(I15:I17)</f>
        <v>0</v>
      </c>
      <c r="J18" s="33"/>
    </row>
    <row r="19" spans="1:9" ht="12.75">
      <c r="A19" s="64"/>
      <c r="B19" s="64"/>
      <c r="C19" s="64"/>
      <c r="D19" s="64"/>
      <c r="E19" s="64"/>
      <c r="F19" s="64"/>
      <c r="G19" s="64"/>
      <c r="H19" s="64"/>
      <c r="I19" s="64"/>
    </row>
    <row r="20" spans="1:10" ht="12.75">
      <c r="A20" s="132" t="s">
        <v>350</v>
      </c>
      <c r="B20" s="133"/>
      <c r="C20" s="133"/>
      <c r="D20" s="133"/>
      <c r="E20" s="134"/>
      <c r="F20" s="66" t="s">
        <v>360</v>
      </c>
      <c r="G20" s="66" t="s">
        <v>361</v>
      </c>
      <c r="H20" s="66" t="s">
        <v>362</v>
      </c>
      <c r="I20" s="66" t="s">
        <v>360</v>
      </c>
      <c r="J20" s="33"/>
    </row>
    <row r="21" spans="1:10" ht="12.75">
      <c r="A21" s="135" t="s">
        <v>334</v>
      </c>
      <c r="B21" s="136"/>
      <c r="C21" s="136"/>
      <c r="D21" s="136"/>
      <c r="E21" s="137"/>
      <c r="F21" s="70"/>
      <c r="G21" s="67">
        <v>1</v>
      </c>
      <c r="H21" s="67">
        <f>'Krycí list rozpočtu'!C22</f>
        <v>1880168.974</v>
      </c>
      <c r="I21" s="67">
        <f>(G21/100)*H21</f>
        <v>18801.689739999998</v>
      </c>
      <c r="J21" s="32"/>
    </row>
    <row r="22" spans="1:10" ht="12.75">
      <c r="A22" s="135" t="s">
        <v>335</v>
      </c>
      <c r="B22" s="136"/>
      <c r="C22" s="136"/>
      <c r="D22" s="136"/>
      <c r="E22" s="137"/>
      <c r="F22" s="67">
        <v>0</v>
      </c>
      <c r="G22" s="70"/>
      <c r="H22" s="70"/>
      <c r="I22" s="67">
        <f>F22</f>
        <v>0</v>
      </c>
      <c r="J22" s="32"/>
    </row>
    <row r="23" spans="1:10" ht="12.75">
      <c r="A23" s="135" t="s">
        <v>336</v>
      </c>
      <c r="B23" s="136"/>
      <c r="C23" s="136"/>
      <c r="D23" s="136"/>
      <c r="E23" s="137"/>
      <c r="F23" s="67">
        <v>0</v>
      </c>
      <c r="G23" s="70"/>
      <c r="H23" s="70"/>
      <c r="I23" s="67">
        <f>F23</f>
        <v>0</v>
      </c>
      <c r="J23" s="32"/>
    </row>
    <row r="24" spans="1:10" ht="12.75">
      <c r="A24" s="135" t="s">
        <v>337</v>
      </c>
      <c r="B24" s="136"/>
      <c r="C24" s="136"/>
      <c r="D24" s="136"/>
      <c r="E24" s="137"/>
      <c r="F24" s="67">
        <v>0</v>
      </c>
      <c r="G24" s="70"/>
      <c r="H24" s="70"/>
      <c r="I24" s="67">
        <f>F24</f>
        <v>0</v>
      </c>
      <c r="J24" s="32"/>
    </row>
    <row r="25" spans="1:10" ht="12.75">
      <c r="A25" s="135" t="s">
        <v>338</v>
      </c>
      <c r="B25" s="136"/>
      <c r="C25" s="136"/>
      <c r="D25" s="136"/>
      <c r="E25" s="137"/>
      <c r="F25" s="67">
        <v>0</v>
      </c>
      <c r="G25" s="70"/>
      <c r="H25" s="70"/>
      <c r="I25" s="67">
        <f>F25</f>
        <v>0</v>
      </c>
      <c r="J25" s="32"/>
    </row>
    <row r="26" spans="1:10" ht="12.75">
      <c r="A26" s="138" t="s">
        <v>339</v>
      </c>
      <c r="B26" s="139"/>
      <c r="C26" s="139"/>
      <c r="D26" s="139"/>
      <c r="E26" s="140"/>
      <c r="F26" s="68">
        <v>0</v>
      </c>
      <c r="G26" s="71"/>
      <c r="H26" s="71"/>
      <c r="I26" s="68">
        <f>F26</f>
        <v>0</v>
      </c>
      <c r="J26" s="32"/>
    </row>
    <row r="27" spans="1:10" ht="12.75">
      <c r="A27" s="141" t="s">
        <v>354</v>
      </c>
      <c r="B27" s="142"/>
      <c r="C27" s="142"/>
      <c r="D27" s="142"/>
      <c r="E27" s="143"/>
      <c r="F27" s="69"/>
      <c r="G27" s="72"/>
      <c r="H27" s="72"/>
      <c r="I27" s="73">
        <f>SUM(I21:I26)</f>
        <v>18801.689739999998</v>
      </c>
      <c r="J27" s="33"/>
    </row>
    <row r="28" spans="1:9" ht="12.75">
      <c r="A28" s="64"/>
      <c r="B28" s="64"/>
      <c r="C28" s="64"/>
      <c r="D28" s="64"/>
      <c r="E28" s="64"/>
      <c r="F28" s="64"/>
      <c r="G28" s="64"/>
      <c r="H28" s="64"/>
      <c r="I28" s="64"/>
    </row>
    <row r="29" spans="1:10" ht="15" customHeight="1">
      <c r="A29" s="144" t="s">
        <v>355</v>
      </c>
      <c r="B29" s="145"/>
      <c r="C29" s="145"/>
      <c r="D29" s="145"/>
      <c r="E29" s="146"/>
      <c r="F29" s="147">
        <f>I18+I27</f>
        <v>18801.689739999998</v>
      </c>
      <c r="G29" s="148"/>
      <c r="H29" s="148"/>
      <c r="I29" s="149"/>
      <c r="J29" s="33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3" spans="1:9" ht="15" customHeight="1">
      <c r="A33" s="130" t="s">
        <v>356</v>
      </c>
      <c r="B33" s="131"/>
      <c r="C33" s="131"/>
      <c r="D33" s="131"/>
      <c r="E33" s="131"/>
      <c r="F33" s="65"/>
      <c r="G33" s="65"/>
      <c r="H33" s="65"/>
      <c r="I33" s="65"/>
    </row>
    <row r="34" spans="1:10" ht="12.75">
      <c r="A34" s="132" t="s">
        <v>357</v>
      </c>
      <c r="B34" s="133"/>
      <c r="C34" s="133"/>
      <c r="D34" s="133"/>
      <c r="E34" s="134"/>
      <c r="F34" s="66" t="s">
        <v>360</v>
      </c>
      <c r="G34" s="66" t="s">
        <v>361</v>
      </c>
      <c r="H34" s="66" t="s">
        <v>362</v>
      </c>
      <c r="I34" s="66" t="s">
        <v>360</v>
      </c>
      <c r="J34" s="33"/>
    </row>
    <row r="35" spans="1:10" ht="12.75">
      <c r="A35" s="138"/>
      <c r="B35" s="139"/>
      <c r="C35" s="139"/>
      <c r="D35" s="139"/>
      <c r="E35" s="140"/>
      <c r="F35" s="68">
        <v>0</v>
      </c>
      <c r="G35" s="71"/>
      <c r="H35" s="71"/>
      <c r="I35" s="68">
        <f>F35</f>
        <v>0</v>
      </c>
      <c r="J35" s="32"/>
    </row>
    <row r="36" spans="1:10" ht="12.75">
      <c r="A36" s="141" t="s">
        <v>358</v>
      </c>
      <c r="B36" s="142"/>
      <c r="C36" s="142"/>
      <c r="D36" s="142"/>
      <c r="E36" s="143"/>
      <c r="F36" s="69"/>
      <c r="G36" s="72"/>
      <c r="H36" s="72"/>
      <c r="I36" s="73">
        <f>SUM(I35:I35)</f>
        <v>0</v>
      </c>
      <c r="J36" s="33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STAROSTKA</dc:creator>
  <cp:keywords/>
  <dc:description/>
  <cp:lastModifiedBy>STAROSTKA</cp:lastModifiedBy>
  <cp:lastPrinted>2019-07-26T05:55:56Z</cp:lastPrinted>
  <dcterms:created xsi:type="dcterms:W3CDTF">2019-07-08T06:50:56Z</dcterms:created>
  <dcterms:modified xsi:type="dcterms:W3CDTF">2019-08-14T09:13:20Z</dcterms:modified>
  <cp:category/>
  <cp:version/>
  <cp:contentType/>
  <cp:contentStatus/>
</cp:coreProperties>
</file>